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6_VIOLÈNCIA DE GÈNERE\"/>
    </mc:Choice>
  </mc:AlternateContent>
  <bookViews>
    <workbookView xWindow="-15" yWindow="4260" windowWidth="15330" windowHeight="4305" tabRatio="898"/>
  </bookViews>
  <sheets>
    <sheet name="ÍNDEX VIOLÈNCIA DE GÈNERE" sheetId="3" r:id="rId1"/>
    <sheet name="ÍNDICE VIOLENCIA DE GÉNERO" sheetId="138" r:id="rId2"/>
    <sheet name="1.2018" sheetId="132" r:id="rId3"/>
    <sheet name="1.2019" sheetId="19" r:id="rId4"/>
    <sheet name="1.2020" sheetId="18" r:id="rId5"/>
    <sheet name="1.2021" sheetId="9" r:id="rId6"/>
    <sheet name="1.2022" sheetId="85" r:id="rId7"/>
    <sheet name="2.2018" sheetId="123" r:id="rId8"/>
    <sheet name="2.2019" sheetId="16" r:id="rId9"/>
    <sheet name="2.2020" sheetId="86" r:id="rId10"/>
    <sheet name="2.2021" sheetId="87" r:id="rId11"/>
    <sheet name="2.2022" sheetId="88" r:id="rId12"/>
    <sheet name="3.2018" sheetId="135" r:id="rId13"/>
    <sheet name="3.2019" sheetId="26" r:id="rId14"/>
    <sheet name="3.2020" sheetId="90" r:id="rId15"/>
    <sheet name="3.2021" sheetId="91" r:id="rId16"/>
    <sheet name="3.2022" sheetId="92" r:id="rId17"/>
    <sheet name="4.2018" sheetId="133" r:id="rId18"/>
    <sheet name="4.2019" sheetId="31" r:id="rId19"/>
    <sheet name="4.2020" sheetId="94" r:id="rId20"/>
    <sheet name="4.2021" sheetId="95" r:id="rId21"/>
    <sheet name="4.2022" sheetId="96" r:id="rId22"/>
    <sheet name="5.2018" sheetId="126" r:id="rId23"/>
    <sheet name="5.2019" sheetId="40" r:id="rId24"/>
    <sheet name="5.2020" sheetId="98" r:id="rId25"/>
    <sheet name="5.2021" sheetId="99" r:id="rId26"/>
    <sheet name="5.2022" sheetId="100" r:id="rId27"/>
    <sheet name="6.2018" sheetId="78" r:id="rId28"/>
    <sheet name="6.2019" sheetId="102" r:id="rId29"/>
    <sheet name="6.2020" sheetId="103" r:id="rId30"/>
    <sheet name="6.2021" sheetId="104" r:id="rId31"/>
    <sheet name="6.2022" sheetId="105" r:id="rId32"/>
    <sheet name="7.2018" sheetId="136" r:id="rId33"/>
    <sheet name="7.2019" sheetId="51" r:id="rId34"/>
    <sheet name="7.2020" sheetId="106" r:id="rId35"/>
    <sheet name="7.2021" sheetId="107" r:id="rId36"/>
    <sheet name="7.2022" sheetId="108" r:id="rId37"/>
    <sheet name="8" sheetId="77" r:id="rId38"/>
    <sheet name="9" sheetId="84" r:id="rId39"/>
  </sheets>
  <calcPr calcId="152511" iterateDelta="1E-4"/>
</workbook>
</file>

<file path=xl/calcChain.xml><?xml version="1.0" encoding="utf-8"?>
<calcChain xmlns="http://schemas.openxmlformats.org/spreadsheetml/2006/main">
  <c r="G15" i="95" l="1"/>
  <c r="G16" i="95"/>
  <c r="G17" i="95"/>
  <c r="G16" i="94"/>
  <c r="G17" i="94"/>
  <c r="G18" i="94"/>
  <c r="G19" i="94"/>
  <c r="G16" i="31"/>
  <c r="G17" i="31"/>
  <c r="G34" i="26"/>
  <c r="I19" i="85"/>
  <c r="E19" i="85"/>
  <c r="I19" i="9"/>
  <c r="G19" i="9"/>
  <c r="E19" i="9"/>
  <c r="C19" i="9"/>
  <c r="I19" i="18"/>
  <c r="G19" i="18"/>
  <c r="E19" i="18"/>
  <c r="C19" i="18"/>
  <c r="I19" i="19"/>
  <c r="G19" i="19"/>
  <c r="E19" i="19"/>
  <c r="C19" i="19"/>
  <c r="I14" i="85"/>
  <c r="G14" i="85"/>
  <c r="E14" i="85"/>
  <c r="F15" i="85"/>
  <c r="C14" i="85"/>
  <c r="C17" i="85"/>
  <c r="D15" i="85"/>
  <c r="I6" i="85"/>
  <c r="G6" i="85"/>
  <c r="H9" i="85"/>
  <c r="E6" i="85"/>
  <c r="C6" i="85"/>
  <c r="C19" i="85"/>
  <c r="D12" i="106"/>
  <c r="D15" i="84"/>
  <c r="E15" i="84"/>
  <c r="F15" i="84"/>
  <c r="D12" i="84"/>
  <c r="E12" i="84"/>
  <c r="F12" i="84"/>
  <c r="D9" i="84"/>
  <c r="E9" i="84"/>
  <c r="F9" i="84"/>
  <c r="D6" i="84"/>
  <c r="E6" i="84"/>
  <c r="F6" i="84"/>
  <c r="C15" i="84"/>
  <c r="C12" i="84"/>
  <c r="C9" i="84"/>
  <c r="C6" i="84"/>
  <c r="G14" i="9"/>
  <c r="G14" i="18"/>
  <c r="G14" i="19"/>
  <c r="J7" i="77"/>
  <c r="K7" i="77"/>
  <c r="L7" i="77"/>
  <c r="M7" i="77"/>
  <c r="N7" i="77"/>
  <c r="E7" i="77"/>
  <c r="F7" i="77"/>
  <c r="G7" i="77"/>
  <c r="H7" i="77"/>
  <c r="D7" i="77"/>
  <c r="E12" i="51"/>
  <c r="D12" i="51"/>
  <c r="D13" i="51"/>
  <c r="D12" i="107"/>
  <c r="G16" i="96"/>
  <c r="G17" i="96"/>
  <c r="K31" i="92"/>
  <c r="K28" i="92"/>
  <c r="I31" i="92"/>
  <c r="I34" i="92"/>
  <c r="I28" i="92"/>
  <c r="J29" i="92"/>
  <c r="K25" i="92"/>
  <c r="I25" i="92"/>
  <c r="J26" i="92"/>
  <c r="M31" i="91"/>
  <c r="M28" i="91"/>
  <c r="M25" i="91"/>
  <c r="K31" i="91"/>
  <c r="K28" i="91"/>
  <c r="K25" i="91"/>
  <c r="I31" i="91"/>
  <c r="I28" i="91"/>
  <c r="I25" i="91"/>
  <c r="N30" i="26"/>
  <c r="N29" i="26"/>
  <c r="M36" i="90"/>
  <c r="M35" i="90"/>
  <c r="N33" i="90"/>
  <c r="N32" i="90"/>
  <c r="N30" i="90"/>
  <c r="N29" i="90"/>
  <c r="M31" i="90"/>
  <c r="M28" i="90"/>
  <c r="M25" i="90"/>
  <c r="M34" i="90"/>
  <c r="K31" i="90"/>
  <c r="K28" i="90"/>
  <c r="K25" i="90"/>
  <c r="I31" i="90"/>
  <c r="I28" i="90"/>
  <c r="I25" i="90"/>
  <c r="G35" i="92"/>
  <c r="G31" i="92"/>
  <c r="G28" i="92"/>
  <c r="H29" i="92"/>
  <c r="G25" i="92"/>
  <c r="H27" i="92"/>
  <c r="E31" i="92"/>
  <c r="E28" i="92"/>
  <c r="E25" i="92"/>
  <c r="C31" i="92"/>
  <c r="D32" i="92"/>
  <c r="C28" i="92"/>
  <c r="C25" i="92"/>
  <c r="M14" i="92"/>
  <c r="M11" i="92"/>
  <c r="N13" i="92"/>
  <c r="M8" i="92"/>
  <c r="K14" i="92"/>
  <c r="K11" i="92"/>
  <c r="K8" i="92"/>
  <c r="K17" i="92"/>
  <c r="I14" i="92"/>
  <c r="I11" i="92"/>
  <c r="I8" i="92"/>
  <c r="G31" i="91"/>
  <c r="G28" i="91"/>
  <c r="E31" i="91"/>
  <c r="E28" i="91"/>
  <c r="G25" i="91"/>
  <c r="E25" i="91"/>
  <c r="C31" i="91"/>
  <c r="C28" i="91"/>
  <c r="C25" i="91"/>
  <c r="H32" i="90"/>
  <c r="H33" i="90"/>
  <c r="G31" i="90"/>
  <c r="G34" i="90"/>
  <c r="G28" i="90"/>
  <c r="H30" i="90"/>
  <c r="G25" i="90"/>
  <c r="H27" i="90"/>
  <c r="E31" i="90"/>
  <c r="E28" i="90"/>
  <c r="E25" i="90"/>
  <c r="C31" i="90"/>
  <c r="D32" i="90"/>
  <c r="C28" i="90"/>
  <c r="D30" i="90"/>
  <c r="C25" i="90"/>
  <c r="M14" i="90"/>
  <c r="M11" i="90"/>
  <c r="N12" i="90"/>
  <c r="M8" i="90"/>
  <c r="N9" i="90"/>
  <c r="K14" i="90"/>
  <c r="L16" i="90"/>
  <c r="K11" i="90"/>
  <c r="L12" i="90"/>
  <c r="K8" i="90"/>
  <c r="I14" i="90"/>
  <c r="I11" i="90"/>
  <c r="I8" i="90"/>
  <c r="M31" i="26"/>
  <c r="M28" i="26"/>
  <c r="K31" i="26"/>
  <c r="K28" i="26"/>
  <c r="L30" i="26"/>
  <c r="I31" i="26"/>
  <c r="I28" i="26"/>
  <c r="J29" i="26"/>
  <c r="G31" i="26"/>
  <c r="G28" i="26"/>
  <c r="E31" i="26"/>
  <c r="E28" i="26"/>
  <c r="C31" i="26"/>
  <c r="C28" i="26"/>
  <c r="M14" i="26"/>
  <c r="M11" i="26"/>
  <c r="K14" i="26"/>
  <c r="K11" i="26"/>
  <c r="I14" i="26"/>
  <c r="I11" i="26"/>
  <c r="D15" i="105"/>
  <c r="D15" i="104"/>
  <c r="E10" i="92"/>
  <c r="E9" i="92"/>
  <c r="E8" i="92"/>
  <c r="E18" i="92"/>
  <c r="G10" i="92"/>
  <c r="G8" i="92"/>
  <c r="G9" i="92"/>
  <c r="G14" i="92"/>
  <c r="G17" i="92"/>
  <c r="G11" i="92"/>
  <c r="H12" i="92"/>
  <c r="E14" i="92"/>
  <c r="F15" i="92"/>
  <c r="E11" i="92"/>
  <c r="F12" i="92"/>
  <c r="C10" i="92"/>
  <c r="C9" i="92"/>
  <c r="C18" i="92"/>
  <c r="C14" i="92"/>
  <c r="D16" i="92"/>
  <c r="C11" i="92"/>
  <c r="D13" i="92"/>
  <c r="G10" i="91"/>
  <c r="G9" i="91"/>
  <c r="E10" i="91"/>
  <c r="E19" i="91"/>
  <c r="E9" i="91"/>
  <c r="C10" i="91"/>
  <c r="C9" i="91"/>
  <c r="M14" i="91"/>
  <c r="N16" i="91"/>
  <c r="M11" i="91"/>
  <c r="N12" i="91"/>
  <c r="M8" i="91"/>
  <c r="K14" i="91"/>
  <c r="K11" i="91"/>
  <c r="L12" i="91"/>
  <c r="K8" i="91"/>
  <c r="K17" i="91"/>
  <c r="I14" i="91"/>
  <c r="J15" i="91"/>
  <c r="I11" i="91"/>
  <c r="G14" i="91"/>
  <c r="H14" i="91"/>
  <c r="G11" i="91"/>
  <c r="E14" i="91"/>
  <c r="E11" i="91"/>
  <c r="F12" i="91"/>
  <c r="C14" i="91"/>
  <c r="C11" i="91"/>
  <c r="I8" i="91"/>
  <c r="G8" i="91"/>
  <c r="H8" i="91"/>
  <c r="E8" i="91"/>
  <c r="C8" i="91"/>
  <c r="D9" i="91"/>
  <c r="G14" i="90"/>
  <c r="E14" i="90"/>
  <c r="F14" i="90"/>
  <c r="C14" i="90"/>
  <c r="G11" i="90"/>
  <c r="E11" i="90"/>
  <c r="C11" i="90"/>
  <c r="G10" i="90"/>
  <c r="G9" i="90"/>
  <c r="G8" i="90"/>
  <c r="E10" i="90"/>
  <c r="E9" i="90"/>
  <c r="C10" i="90"/>
  <c r="C9" i="90"/>
  <c r="E8" i="90"/>
  <c r="F9" i="90"/>
  <c r="C8" i="90"/>
  <c r="D10" i="90"/>
  <c r="C12" i="51"/>
  <c r="C15" i="102"/>
  <c r="C22" i="31"/>
  <c r="G14" i="26"/>
  <c r="H15" i="26"/>
  <c r="G11" i="26"/>
  <c r="H13" i="26"/>
  <c r="E14" i="26"/>
  <c r="E11" i="26"/>
  <c r="F12" i="26"/>
  <c r="C14" i="26"/>
  <c r="F14" i="26"/>
  <c r="C11" i="26"/>
  <c r="D13" i="26"/>
  <c r="G10" i="26"/>
  <c r="H10" i="26"/>
  <c r="G9" i="26"/>
  <c r="E10" i="26"/>
  <c r="E8" i="26"/>
  <c r="M25" i="26"/>
  <c r="K25" i="26"/>
  <c r="I25" i="26"/>
  <c r="I34" i="26"/>
  <c r="G25" i="26"/>
  <c r="E25" i="26"/>
  <c r="E34" i="26"/>
  <c r="C25" i="26"/>
  <c r="C34" i="26"/>
  <c r="M8" i="26"/>
  <c r="N9" i="26"/>
  <c r="K8" i="26"/>
  <c r="I8" i="26"/>
  <c r="J9" i="26"/>
  <c r="G8" i="26"/>
  <c r="C8" i="26"/>
  <c r="C9" i="26"/>
  <c r="E9" i="26"/>
  <c r="C10" i="26"/>
  <c r="D9" i="26"/>
  <c r="K36" i="135"/>
  <c r="I36" i="135"/>
  <c r="G36" i="135"/>
  <c r="E36" i="135"/>
  <c r="C36" i="135"/>
  <c r="K35" i="135"/>
  <c r="I35" i="135"/>
  <c r="E35" i="135"/>
  <c r="C35" i="135"/>
  <c r="K34" i="135"/>
  <c r="I34" i="135"/>
  <c r="G34" i="135"/>
  <c r="E34" i="135"/>
  <c r="C34" i="135"/>
  <c r="L33" i="135"/>
  <c r="J33" i="135"/>
  <c r="F33" i="135"/>
  <c r="D33" i="135"/>
  <c r="L32" i="135"/>
  <c r="J32" i="135"/>
  <c r="F32" i="135"/>
  <c r="D32" i="135"/>
  <c r="L30" i="135"/>
  <c r="J30" i="135"/>
  <c r="F30" i="135"/>
  <c r="D30" i="135"/>
  <c r="L29" i="135"/>
  <c r="J29" i="135"/>
  <c r="F29" i="135"/>
  <c r="D29" i="135"/>
  <c r="L27" i="135"/>
  <c r="J27" i="135"/>
  <c r="H27" i="135"/>
  <c r="F27" i="135"/>
  <c r="D27" i="135"/>
  <c r="L26" i="135"/>
  <c r="J26" i="135"/>
  <c r="H26" i="135"/>
  <c r="F26" i="135"/>
  <c r="D26" i="135"/>
  <c r="M19" i="135"/>
  <c r="K19" i="135"/>
  <c r="I19" i="135"/>
  <c r="E19" i="135"/>
  <c r="M18" i="135"/>
  <c r="K18" i="135"/>
  <c r="I18" i="135"/>
  <c r="G18" i="135"/>
  <c r="E18" i="135"/>
  <c r="M17" i="135"/>
  <c r="K17" i="135"/>
  <c r="I17" i="135"/>
  <c r="G17" i="135"/>
  <c r="E17" i="135"/>
  <c r="L16" i="135"/>
  <c r="J16" i="135"/>
  <c r="F16" i="135"/>
  <c r="D16" i="135"/>
  <c r="N15" i="135"/>
  <c r="L15" i="135"/>
  <c r="J15" i="135"/>
  <c r="H15" i="135"/>
  <c r="F15" i="135"/>
  <c r="D15" i="135"/>
  <c r="G14" i="135"/>
  <c r="H16" i="135"/>
  <c r="E14" i="135"/>
  <c r="C14" i="135"/>
  <c r="C17" i="135"/>
  <c r="N13" i="135"/>
  <c r="L13" i="135"/>
  <c r="J13" i="135"/>
  <c r="N12" i="135"/>
  <c r="L12" i="135"/>
  <c r="J12" i="135"/>
  <c r="G11" i="135"/>
  <c r="H13" i="135"/>
  <c r="E11" i="135"/>
  <c r="F13" i="135"/>
  <c r="C11" i="135"/>
  <c r="D13" i="135"/>
  <c r="N10" i="135"/>
  <c r="L10" i="135"/>
  <c r="J10" i="135"/>
  <c r="G10" i="135"/>
  <c r="H10" i="135"/>
  <c r="F10" i="135"/>
  <c r="E10" i="135"/>
  <c r="C10" i="135"/>
  <c r="D10" i="135"/>
  <c r="N9" i="135"/>
  <c r="L9" i="135"/>
  <c r="J9" i="135"/>
  <c r="G9" i="135"/>
  <c r="H9" i="135"/>
  <c r="F9" i="135"/>
  <c r="E9" i="135"/>
  <c r="C9" i="135"/>
  <c r="D9" i="135"/>
  <c r="C8" i="135"/>
  <c r="I7" i="77"/>
  <c r="C7" i="77"/>
  <c r="C12" i="107"/>
  <c r="E12" i="107"/>
  <c r="E7" i="107"/>
  <c r="F12" i="107"/>
  <c r="G12" i="107"/>
  <c r="C17" i="51"/>
  <c r="D17" i="51"/>
  <c r="E17" i="51"/>
  <c r="D22" i="96"/>
  <c r="E22" i="96"/>
  <c r="F22" i="96"/>
  <c r="D6" i="96"/>
  <c r="E6" i="96"/>
  <c r="F6" i="96"/>
  <c r="C22" i="95"/>
  <c r="D22" i="95"/>
  <c r="E22" i="95"/>
  <c r="G22" i="95"/>
  <c r="F22" i="95"/>
  <c r="D6" i="95"/>
  <c r="E6" i="95"/>
  <c r="F6" i="95"/>
  <c r="D22" i="94"/>
  <c r="E22" i="94"/>
  <c r="G22" i="94"/>
  <c r="F22" i="94"/>
  <c r="D6" i="94"/>
  <c r="E6" i="94"/>
  <c r="F6" i="94"/>
  <c r="D22" i="31"/>
  <c r="E22" i="31"/>
  <c r="F22" i="31"/>
  <c r="D6" i="31"/>
  <c r="E6" i="31"/>
  <c r="F6" i="31"/>
  <c r="C14" i="19"/>
  <c r="D16" i="19"/>
  <c r="G24" i="136"/>
  <c r="G23" i="136"/>
  <c r="G21" i="136"/>
  <c r="G20" i="136"/>
  <c r="G19" i="136"/>
  <c r="G17" i="136"/>
  <c r="G16" i="136"/>
  <c r="G15" i="136"/>
  <c r="G14" i="136"/>
  <c r="G12" i="136"/>
  <c r="G11" i="136"/>
  <c r="G10" i="136"/>
  <c r="G8" i="136"/>
  <c r="G7" i="136"/>
  <c r="G6" i="136"/>
  <c r="F22" i="136"/>
  <c r="F18" i="136"/>
  <c r="F13" i="136"/>
  <c r="F9" i="136"/>
  <c r="E22" i="136"/>
  <c r="E18" i="136"/>
  <c r="E9" i="136"/>
  <c r="E13" i="136"/>
  <c r="I19" i="132"/>
  <c r="G19" i="132"/>
  <c r="E19" i="132"/>
  <c r="I18" i="132"/>
  <c r="E18" i="132"/>
  <c r="E17" i="132"/>
  <c r="D22" i="136"/>
  <c r="D18" i="136"/>
  <c r="D13" i="136"/>
  <c r="D9" i="136"/>
  <c r="C22" i="136"/>
  <c r="C18" i="136"/>
  <c r="C13" i="136"/>
  <c r="C9" i="136"/>
  <c r="G10" i="133"/>
  <c r="G13" i="133"/>
  <c r="G12" i="133"/>
  <c r="G11" i="133"/>
  <c r="G8" i="133"/>
  <c r="G14" i="133"/>
  <c r="G15" i="133"/>
  <c r="G16" i="133"/>
  <c r="G17" i="133"/>
  <c r="G18" i="133"/>
  <c r="G19" i="133"/>
  <c r="G20" i="133"/>
  <c r="G21" i="133"/>
  <c r="G22" i="133"/>
  <c r="G23" i="133"/>
  <c r="G24" i="133"/>
  <c r="G25" i="133"/>
  <c r="G7" i="133"/>
  <c r="G6" i="133"/>
  <c r="G7" i="123"/>
  <c r="G8" i="123"/>
  <c r="G10" i="123"/>
  <c r="G11" i="123"/>
  <c r="G6" i="123"/>
  <c r="F12" i="123"/>
  <c r="F9" i="123"/>
  <c r="C9" i="123"/>
  <c r="H16" i="132"/>
  <c r="H15" i="132"/>
  <c r="F16" i="132"/>
  <c r="F15" i="132"/>
  <c r="J16" i="132"/>
  <c r="J15" i="132"/>
  <c r="D16" i="132"/>
  <c r="D15" i="132"/>
  <c r="C6" i="132"/>
  <c r="D9" i="132"/>
  <c r="E6" i="132"/>
  <c r="F12" i="132"/>
  <c r="J8" i="132"/>
  <c r="G6" i="132"/>
  <c r="I17" i="132"/>
  <c r="J13" i="132"/>
  <c r="J12" i="132"/>
  <c r="J11" i="132"/>
  <c r="J10" i="132"/>
  <c r="J9" i="132"/>
  <c r="J7" i="132"/>
  <c r="F13" i="132"/>
  <c r="F9" i="132"/>
  <c r="E12" i="123"/>
  <c r="D12" i="123"/>
  <c r="E9" i="123"/>
  <c r="C6" i="96"/>
  <c r="C22" i="96"/>
  <c r="C6" i="95"/>
  <c r="C22" i="94"/>
  <c r="C6" i="94"/>
  <c r="C6" i="31"/>
  <c r="G24" i="106"/>
  <c r="G23" i="106"/>
  <c r="G20" i="106"/>
  <c r="G19" i="106"/>
  <c r="G15" i="106"/>
  <c r="G14" i="106"/>
  <c r="G11" i="106"/>
  <c r="G10" i="106"/>
  <c r="G6" i="106"/>
  <c r="G24" i="51"/>
  <c r="G23" i="51"/>
  <c r="G20" i="51"/>
  <c r="G19" i="51"/>
  <c r="G15" i="51"/>
  <c r="G14" i="51"/>
  <c r="G11" i="51"/>
  <c r="G10" i="51"/>
  <c r="G6" i="51"/>
  <c r="G24" i="108"/>
  <c r="G23" i="108"/>
  <c r="G20" i="108"/>
  <c r="G19" i="108"/>
  <c r="G15" i="108"/>
  <c r="G14" i="108"/>
  <c r="G11" i="108"/>
  <c r="G10" i="108"/>
  <c r="G6" i="108"/>
  <c r="G24" i="107"/>
  <c r="G23" i="107"/>
  <c r="G20" i="107"/>
  <c r="G19" i="107"/>
  <c r="G15" i="107"/>
  <c r="G14" i="107"/>
  <c r="G11" i="107"/>
  <c r="G10" i="107"/>
  <c r="G6" i="107"/>
  <c r="E21" i="106"/>
  <c r="D21" i="106"/>
  <c r="C21" i="106"/>
  <c r="E17" i="106"/>
  <c r="E16" i="106"/>
  <c r="D17" i="106"/>
  <c r="D16" i="106"/>
  <c r="C17" i="106"/>
  <c r="C16" i="106"/>
  <c r="E8" i="106"/>
  <c r="E7" i="106"/>
  <c r="D8" i="106"/>
  <c r="D7" i="106"/>
  <c r="C8" i="106"/>
  <c r="C7" i="106"/>
  <c r="C9" i="106"/>
  <c r="E21" i="51"/>
  <c r="G21" i="51"/>
  <c r="D21" i="51"/>
  <c r="D16" i="51"/>
  <c r="C21" i="51"/>
  <c r="E8" i="51"/>
  <c r="G8" i="51"/>
  <c r="D8" i="51"/>
  <c r="D9" i="51"/>
  <c r="C8" i="51"/>
  <c r="E21" i="108"/>
  <c r="D21" i="108"/>
  <c r="C21" i="108"/>
  <c r="C22" i="108"/>
  <c r="E17" i="108"/>
  <c r="D17" i="108"/>
  <c r="C17" i="108"/>
  <c r="C16" i="108"/>
  <c r="C18" i="108"/>
  <c r="E12" i="108"/>
  <c r="D12" i="108"/>
  <c r="C12" i="108"/>
  <c r="C13" i="108"/>
  <c r="F12" i="108"/>
  <c r="G12" i="108"/>
  <c r="E8" i="108"/>
  <c r="D8" i="108"/>
  <c r="D7" i="108"/>
  <c r="D13" i="108"/>
  <c r="C8" i="108"/>
  <c r="C7" i="108"/>
  <c r="F21" i="108"/>
  <c r="G21" i="108"/>
  <c r="F17" i="108"/>
  <c r="G17" i="108"/>
  <c r="F8" i="108"/>
  <c r="E21" i="107"/>
  <c r="G21" i="107"/>
  <c r="D21" i="107"/>
  <c r="C21" i="107"/>
  <c r="E17" i="107"/>
  <c r="D17" i="107"/>
  <c r="D16" i="107"/>
  <c r="C17" i="107"/>
  <c r="C16" i="107"/>
  <c r="E8" i="107"/>
  <c r="D8" i="107"/>
  <c r="D7" i="107"/>
  <c r="C8" i="107"/>
  <c r="F21" i="107"/>
  <c r="F17" i="107"/>
  <c r="F8" i="107"/>
  <c r="G8" i="107"/>
  <c r="E12" i="106"/>
  <c r="C12" i="106"/>
  <c r="F21" i="106"/>
  <c r="G21" i="106"/>
  <c r="F17" i="106"/>
  <c r="F12" i="106"/>
  <c r="G12" i="106"/>
  <c r="F8" i="106"/>
  <c r="G12" i="51"/>
  <c r="G7" i="96"/>
  <c r="G10" i="96"/>
  <c r="G11" i="96"/>
  <c r="G12" i="96"/>
  <c r="G13" i="96"/>
  <c r="G14" i="96"/>
  <c r="G15" i="96"/>
  <c r="G18" i="96"/>
  <c r="G19" i="96"/>
  <c r="G20" i="96"/>
  <c r="G21" i="96"/>
  <c r="G23" i="96"/>
  <c r="G24" i="96"/>
  <c r="G25" i="96"/>
  <c r="G7" i="95"/>
  <c r="G10" i="95"/>
  <c r="G11" i="95"/>
  <c r="G12" i="95"/>
  <c r="G13" i="95"/>
  <c r="G14" i="95"/>
  <c r="G18" i="95"/>
  <c r="G19" i="95"/>
  <c r="G20" i="95"/>
  <c r="G21" i="95"/>
  <c r="G23" i="95"/>
  <c r="G24" i="95"/>
  <c r="G25" i="95"/>
  <c r="G7" i="94"/>
  <c r="G10" i="94"/>
  <c r="G11" i="94"/>
  <c r="G12" i="94"/>
  <c r="G13" i="94"/>
  <c r="G14" i="94"/>
  <c r="G15" i="94"/>
  <c r="G20" i="94"/>
  <c r="G21" i="94"/>
  <c r="G23" i="94"/>
  <c r="G24" i="94"/>
  <c r="G25" i="94"/>
  <c r="G7" i="31"/>
  <c r="G10" i="31"/>
  <c r="G11" i="31"/>
  <c r="G12" i="31"/>
  <c r="G13" i="31"/>
  <c r="G14" i="31"/>
  <c r="G15" i="31"/>
  <c r="G18" i="31"/>
  <c r="G19" i="31"/>
  <c r="G20" i="31"/>
  <c r="G21" i="31"/>
  <c r="G23" i="31"/>
  <c r="G24" i="31"/>
  <c r="G25" i="31"/>
  <c r="I17" i="92"/>
  <c r="M17" i="92"/>
  <c r="D12" i="92"/>
  <c r="J12" i="92"/>
  <c r="L12" i="92"/>
  <c r="J13" i="92"/>
  <c r="L13" i="92"/>
  <c r="J15" i="92"/>
  <c r="L15" i="92"/>
  <c r="N15" i="92"/>
  <c r="J16" i="92"/>
  <c r="L16" i="92"/>
  <c r="N16" i="92"/>
  <c r="G18" i="92"/>
  <c r="I18" i="92"/>
  <c r="K18" i="92"/>
  <c r="M18" i="92"/>
  <c r="I19" i="92"/>
  <c r="K19" i="92"/>
  <c r="M19" i="92"/>
  <c r="H26" i="92"/>
  <c r="K34" i="92"/>
  <c r="D29" i="92"/>
  <c r="F29" i="92"/>
  <c r="L29" i="92"/>
  <c r="D30" i="92"/>
  <c r="F30" i="92"/>
  <c r="L30" i="92"/>
  <c r="F32" i="92"/>
  <c r="L32" i="92"/>
  <c r="F33" i="92"/>
  <c r="L33" i="92"/>
  <c r="C35" i="92"/>
  <c r="E35" i="92"/>
  <c r="I35" i="92"/>
  <c r="K35" i="92"/>
  <c r="C36" i="92"/>
  <c r="E36" i="92"/>
  <c r="G36" i="92"/>
  <c r="I36" i="92"/>
  <c r="K36" i="92"/>
  <c r="J10" i="91"/>
  <c r="N10" i="91"/>
  <c r="C17" i="91"/>
  <c r="F11" i="91"/>
  <c r="H11" i="91"/>
  <c r="D12" i="91"/>
  <c r="H12" i="91"/>
  <c r="J12" i="91"/>
  <c r="D13" i="91"/>
  <c r="H13" i="91"/>
  <c r="J13" i="91"/>
  <c r="F14" i="91"/>
  <c r="D15" i="91"/>
  <c r="H15" i="91"/>
  <c r="L15" i="91"/>
  <c r="D16" i="91"/>
  <c r="L16" i="91"/>
  <c r="C18" i="91"/>
  <c r="E18" i="91"/>
  <c r="I18" i="91"/>
  <c r="K18" i="91"/>
  <c r="M18" i="91"/>
  <c r="C19" i="91"/>
  <c r="G19" i="91"/>
  <c r="I19" i="91"/>
  <c r="K19" i="91"/>
  <c r="M19" i="91"/>
  <c r="I34" i="91"/>
  <c r="J27" i="91"/>
  <c r="D30" i="91"/>
  <c r="E34" i="91"/>
  <c r="J30" i="91"/>
  <c r="D29" i="91"/>
  <c r="F29" i="91"/>
  <c r="J29" i="91"/>
  <c r="L29" i="91"/>
  <c r="F30" i="91"/>
  <c r="L30" i="91"/>
  <c r="D32" i="91"/>
  <c r="F32" i="91"/>
  <c r="J32" i="91"/>
  <c r="L32" i="91"/>
  <c r="F33" i="91"/>
  <c r="J33" i="91"/>
  <c r="L33" i="91"/>
  <c r="C35" i="91"/>
  <c r="E35" i="91"/>
  <c r="G35" i="91"/>
  <c r="I35" i="91"/>
  <c r="K35" i="91"/>
  <c r="C36" i="91"/>
  <c r="E36" i="91"/>
  <c r="G36" i="91"/>
  <c r="I36" i="91"/>
  <c r="K36" i="91"/>
  <c r="D12" i="90"/>
  <c r="F12" i="90"/>
  <c r="H12" i="90"/>
  <c r="J12" i="90"/>
  <c r="D13" i="90"/>
  <c r="F13" i="90"/>
  <c r="H13" i="90"/>
  <c r="J13" i="90"/>
  <c r="H14" i="90"/>
  <c r="D15" i="90"/>
  <c r="F15" i="90"/>
  <c r="J15" i="90"/>
  <c r="L15" i="90"/>
  <c r="N15" i="90"/>
  <c r="D16" i="90"/>
  <c r="J16" i="90"/>
  <c r="N16" i="90"/>
  <c r="C18" i="90"/>
  <c r="E18" i="90"/>
  <c r="G18" i="90"/>
  <c r="I18" i="90"/>
  <c r="K18" i="90"/>
  <c r="M18" i="90"/>
  <c r="C19" i="90"/>
  <c r="E19" i="90"/>
  <c r="G19" i="90"/>
  <c r="I19" i="90"/>
  <c r="K19" i="90"/>
  <c r="M19" i="90"/>
  <c r="D27" i="90"/>
  <c r="L27" i="90"/>
  <c r="C34" i="90"/>
  <c r="E34" i="90"/>
  <c r="I34" i="90"/>
  <c r="F29" i="90"/>
  <c r="J29" i="90"/>
  <c r="F30" i="90"/>
  <c r="J30" i="90"/>
  <c r="L30" i="90"/>
  <c r="K34" i="90"/>
  <c r="F32" i="90"/>
  <c r="J32" i="90"/>
  <c r="L32" i="90"/>
  <c r="D33" i="90"/>
  <c r="F33" i="90"/>
  <c r="J33" i="90"/>
  <c r="L33" i="90"/>
  <c r="C35" i="90"/>
  <c r="E35" i="90"/>
  <c r="G35" i="90"/>
  <c r="I35" i="90"/>
  <c r="K35" i="90"/>
  <c r="C36" i="90"/>
  <c r="E36" i="90"/>
  <c r="G36" i="90"/>
  <c r="I36" i="90"/>
  <c r="K36" i="90"/>
  <c r="C17" i="26"/>
  <c r="G17" i="26"/>
  <c r="K17" i="26"/>
  <c r="J12" i="26"/>
  <c r="L12" i="26"/>
  <c r="N12" i="26"/>
  <c r="F13" i="26"/>
  <c r="J13" i="26"/>
  <c r="L13" i="26"/>
  <c r="N13" i="26"/>
  <c r="H14" i="26"/>
  <c r="D15" i="26"/>
  <c r="F15" i="26"/>
  <c r="J15" i="26"/>
  <c r="L15" i="26"/>
  <c r="N15" i="26"/>
  <c r="D16" i="26"/>
  <c r="F16" i="26"/>
  <c r="J16" i="26"/>
  <c r="L16" i="26"/>
  <c r="N16" i="26"/>
  <c r="C18" i="26"/>
  <c r="E18" i="26"/>
  <c r="G18" i="26"/>
  <c r="I18" i="26"/>
  <c r="K18" i="26"/>
  <c r="M18" i="26"/>
  <c r="C19" i="26"/>
  <c r="E19" i="26"/>
  <c r="G19" i="26"/>
  <c r="I19" i="26"/>
  <c r="K19" i="26"/>
  <c r="M19" i="26"/>
  <c r="N27" i="26"/>
  <c r="D29" i="26"/>
  <c r="F29" i="26"/>
  <c r="F30" i="26"/>
  <c r="F33" i="26"/>
  <c r="J32" i="26"/>
  <c r="D32" i="26"/>
  <c r="F32" i="26"/>
  <c r="L32" i="26"/>
  <c r="D33" i="26"/>
  <c r="J33" i="26"/>
  <c r="L33" i="26"/>
  <c r="C35" i="26"/>
  <c r="E35" i="26"/>
  <c r="G35" i="26"/>
  <c r="I35" i="26"/>
  <c r="K35" i="26"/>
  <c r="C36" i="26"/>
  <c r="E36" i="26"/>
  <c r="G36" i="26"/>
  <c r="I36" i="26"/>
  <c r="K36" i="26"/>
  <c r="C6" i="88"/>
  <c r="D6" i="88"/>
  <c r="E6" i="88"/>
  <c r="F6" i="88"/>
  <c r="G6" i="88"/>
  <c r="G7" i="88"/>
  <c r="G8" i="88"/>
  <c r="C9" i="88"/>
  <c r="D9" i="88"/>
  <c r="E9" i="88"/>
  <c r="F9" i="88"/>
  <c r="G10" i="88"/>
  <c r="G11" i="88"/>
  <c r="C12" i="88"/>
  <c r="D12" i="88"/>
  <c r="E12" i="88"/>
  <c r="F12" i="88"/>
  <c r="C6" i="87"/>
  <c r="D6" i="87"/>
  <c r="E6" i="87"/>
  <c r="G6" i="87"/>
  <c r="F6" i="87"/>
  <c r="G7" i="87"/>
  <c r="G8" i="87"/>
  <c r="C9" i="87"/>
  <c r="D9" i="87"/>
  <c r="E9" i="87"/>
  <c r="F9" i="87"/>
  <c r="G10" i="87"/>
  <c r="G11" i="87"/>
  <c r="C12" i="87"/>
  <c r="D12" i="87"/>
  <c r="E12" i="87"/>
  <c r="F12" i="87"/>
  <c r="C6" i="86"/>
  <c r="D6" i="86"/>
  <c r="E6" i="86"/>
  <c r="F6" i="86"/>
  <c r="G7" i="86"/>
  <c r="G8" i="86"/>
  <c r="C9" i="86"/>
  <c r="D9" i="86"/>
  <c r="E9" i="86"/>
  <c r="F9" i="86"/>
  <c r="G10" i="86"/>
  <c r="G11" i="86"/>
  <c r="C12" i="86"/>
  <c r="D12" i="86"/>
  <c r="E12" i="86"/>
  <c r="F12" i="86"/>
  <c r="C6" i="16"/>
  <c r="D6" i="16"/>
  <c r="E6" i="16"/>
  <c r="F6" i="16"/>
  <c r="G6" i="16"/>
  <c r="G7" i="16"/>
  <c r="G8" i="16"/>
  <c r="C9" i="16"/>
  <c r="D9" i="16"/>
  <c r="E9" i="16"/>
  <c r="F9" i="16"/>
  <c r="G10" i="16"/>
  <c r="G11" i="16"/>
  <c r="C12" i="16"/>
  <c r="D12" i="16"/>
  <c r="E12" i="16"/>
  <c r="F12" i="16"/>
  <c r="D7" i="85"/>
  <c r="F7" i="85"/>
  <c r="J7" i="85"/>
  <c r="D8" i="85"/>
  <c r="F8" i="85"/>
  <c r="J8" i="85"/>
  <c r="F9" i="85"/>
  <c r="J9" i="85"/>
  <c r="D10" i="85"/>
  <c r="F10" i="85"/>
  <c r="J10" i="85"/>
  <c r="D11" i="85"/>
  <c r="F11" i="85"/>
  <c r="J11" i="85"/>
  <c r="F12" i="85"/>
  <c r="H12" i="85"/>
  <c r="J12" i="85"/>
  <c r="D13" i="85"/>
  <c r="F13" i="85"/>
  <c r="H13" i="85"/>
  <c r="J13" i="85"/>
  <c r="D16" i="85"/>
  <c r="G17" i="85"/>
  <c r="J16" i="85"/>
  <c r="I17" i="85"/>
  <c r="E18" i="85"/>
  <c r="I18" i="85"/>
  <c r="D7" i="9"/>
  <c r="F7" i="9"/>
  <c r="H7" i="9"/>
  <c r="J7" i="9"/>
  <c r="D8" i="9"/>
  <c r="F8" i="9"/>
  <c r="H8" i="9"/>
  <c r="J8" i="9"/>
  <c r="D9" i="9"/>
  <c r="F9" i="9"/>
  <c r="H9" i="9"/>
  <c r="J9" i="9"/>
  <c r="D10" i="9"/>
  <c r="F10" i="9"/>
  <c r="H10" i="9"/>
  <c r="J10" i="9"/>
  <c r="D11" i="9"/>
  <c r="F11" i="9"/>
  <c r="H11" i="9"/>
  <c r="J11" i="9"/>
  <c r="D12" i="9"/>
  <c r="F12" i="9"/>
  <c r="H12" i="9"/>
  <c r="J12" i="9"/>
  <c r="D13" i="9"/>
  <c r="F13" i="9"/>
  <c r="H13" i="9"/>
  <c r="J13" i="9"/>
  <c r="C14" i="9"/>
  <c r="C17" i="9"/>
  <c r="E14" i="9"/>
  <c r="F15" i="9"/>
  <c r="H15" i="9"/>
  <c r="I14" i="9"/>
  <c r="I17" i="9"/>
  <c r="D15" i="9"/>
  <c r="H16" i="9"/>
  <c r="C18" i="9"/>
  <c r="E18" i="9"/>
  <c r="G18" i="9"/>
  <c r="I18" i="9"/>
  <c r="D7" i="18"/>
  <c r="F7" i="18"/>
  <c r="H7" i="18"/>
  <c r="J7" i="18"/>
  <c r="D8" i="18"/>
  <c r="F8" i="18"/>
  <c r="H8" i="18"/>
  <c r="J8" i="18"/>
  <c r="D9" i="18"/>
  <c r="F9" i="18"/>
  <c r="H9" i="18"/>
  <c r="J9" i="18"/>
  <c r="D10" i="18"/>
  <c r="F10" i="18"/>
  <c r="H10" i="18"/>
  <c r="J10" i="18"/>
  <c r="D11" i="18"/>
  <c r="F11" i="18"/>
  <c r="H11" i="18"/>
  <c r="J11" i="18"/>
  <c r="D12" i="18"/>
  <c r="F12" i="18"/>
  <c r="H12" i="18"/>
  <c r="J12" i="18"/>
  <c r="D13" i="18"/>
  <c r="F13" i="18"/>
  <c r="H13" i="18"/>
  <c r="J13" i="18"/>
  <c r="C14" i="18"/>
  <c r="D15" i="18"/>
  <c r="E14" i="18"/>
  <c r="F16" i="18"/>
  <c r="H15" i="18"/>
  <c r="I14" i="18"/>
  <c r="J16" i="18"/>
  <c r="J15" i="18"/>
  <c r="H16" i="18"/>
  <c r="C18" i="18"/>
  <c r="E18" i="18"/>
  <c r="G18" i="18"/>
  <c r="I18" i="18"/>
  <c r="D6" i="19"/>
  <c r="F6" i="19"/>
  <c r="H6" i="19"/>
  <c r="J6" i="19"/>
  <c r="D7" i="19"/>
  <c r="F7" i="19"/>
  <c r="H7" i="19"/>
  <c r="J7" i="19"/>
  <c r="D8" i="19"/>
  <c r="F8" i="19"/>
  <c r="H8" i="19"/>
  <c r="J8" i="19"/>
  <c r="D9" i="19"/>
  <c r="F9" i="19"/>
  <c r="H9" i="19"/>
  <c r="J9" i="19"/>
  <c r="D10" i="19"/>
  <c r="F10" i="19"/>
  <c r="H10" i="19"/>
  <c r="J10" i="19"/>
  <c r="D11" i="19"/>
  <c r="F11" i="19"/>
  <c r="H11" i="19"/>
  <c r="J11" i="19"/>
  <c r="D12" i="19"/>
  <c r="F12" i="19"/>
  <c r="H12" i="19"/>
  <c r="J12" i="19"/>
  <c r="D13" i="19"/>
  <c r="F13" i="19"/>
  <c r="H13" i="19"/>
  <c r="J13" i="19"/>
  <c r="E14" i="19"/>
  <c r="F15" i="19"/>
  <c r="H15" i="19"/>
  <c r="I14" i="19"/>
  <c r="J16" i="19"/>
  <c r="C17" i="19"/>
  <c r="C18" i="19"/>
  <c r="E18" i="19"/>
  <c r="G18" i="19"/>
  <c r="I18" i="19"/>
  <c r="D16" i="108"/>
  <c r="D18" i="108"/>
  <c r="H10" i="132"/>
  <c r="F11" i="132"/>
  <c r="H13" i="132"/>
  <c r="F8" i="132"/>
  <c r="H12" i="132"/>
  <c r="H7" i="132"/>
  <c r="H9" i="132"/>
  <c r="F7" i="132"/>
  <c r="F10" i="132"/>
  <c r="H8" i="132"/>
  <c r="H27" i="26"/>
  <c r="H26" i="26"/>
  <c r="L10" i="26"/>
  <c r="D10" i="26"/>
  <c r="L9" i="26"/>
  <c r="H9" i="26"/>
  <c r="J27" i="90"/>
  <c r="F27" i="90"/>
  <c r="L26" i="90"/>
  <c r="D26" i="90"/>
  <c r="K17" i="90"/>
  <c r="L9" i="90"/>
  <c r="L10" i="90"/>
  <c r="F27" i="91"/>
  <c r="F26" i="91"/>
  <c r="F8" i="91"/>
  <c r="L27" i="92"/>
  <c r="J26" i="26"/>
  <c r="F26" i="26"/>
  <c r="J10" i="26"/>
  <c r="J26" i="90"/>
  <c r="F26" i="90"/>
  <c r="N10" i="90"/>
  <c r="M17" i="90"/>
  <c r="J9" i="90"/>
  <c r="J10" i="90"/>
  <c r="I17" i="90"/>
  <c r="D10" i="91"/>
  <c r="L26" i="92"/>
  <c r="K34" i="91"/>
  <c r="H26" i="91"/>
  <c r="D27" i="91"/>
  <c r="D26" i="92"/>
  <c r="D30" i="26"/>
  <c r="L29" i="90"/>
  <c r="H29" i="90"/>
  <c r="D29" i="90"/>
  <c r="H16" i="90"/>
  <c r="H15" i="90"/>
  <c r="C34" i="91"/>
  <c r="D33" i="91"/>
  <c r="J26" i="91"/>
  <c r="N9" i="91"/>
  <c r="F26" i="92"/>
  <c r="N10" i="92"/>
  <c r="J10" i="92"/>
  <c r="N9" i="92"/>
  <c r="J9" i="92"/>
  <c r="F9" i="51"/>
  <c r="D13" i="132"/>
  <c r="E34" i="92"/>
  <c r="F27" i="92"/>
  <c r="D26" i="91"/>
  <c r="L26" i="91"/>
  <c r="H27" i="91"/>
  <c r="G34" i="91"/>
  <c r="D27" i="92"/>
  <c r="C34" i="92"/>
  <c r="L27" i="91"/>
  <c r="F7" i="107"/>
  <c r="F9" i="107"/>
  <c r="F9" i="106"/>
  <c r="G8" i="106"/>
  <c r="F18" i="51"/>
  <c r="F22" i="51"/>
  <c r="F13" i="51"/>
  <c r="G22" i="96"/>
  <c r="G22" i="31"/>
  <c r="G17" i="9"/>
  <c r="E17" i="9"/>
  <c r="E17" i="19"/>
  <c r="H12" i="135"/>
  <c r="C18" i="135"/>
  <c r="C19" i="135"/>
  <c r="G19" i="135"/>
  <c r="D12" i="135"/>
  <c r="F12" i="135"/>
  <c r="G17" i="19"/>
  <c r="H16" i="19"/>
  <c r="F16" i="19"/>
  <c r="D15" i="19"/>
  <c r="F16" i="9"/>
  <c r="F16" i="92"/>
  <c r="H13" i="92"/>
  <c r="H10" i="91"/>
  <c r="G17" i="91"/>
  <c r="H9" i="91"/>
  <c r="G18" i="91"/>
  <c r="H16" i="91"/>
  <c r="F9" i="91"/>
  <c r="F10" i="91"/>
  <c r="E17" i="91"/>
  <c r="F16" i="91"/>
  <c r="F15" i="91"/>
  <c r="F13" i="91"/>
  <c r="D16" i="9"/>
  <c r="F16" i="90"/>
  <c r="G17" i="90"/>
  <c r="H9" i="90"/>
  <c r="H10" i="90"/>
  <c r="E17" i="90"/>
  <c r="F10" i="90"/>
  <c r="D9" i="90"/>
  <c r="C17" i="90"/>
  <c r="C17" i="18"/>
  <c r="D16" i="18"/>
  <c r="H16" i="26"/>
  <c r="H12" i="26"/>
  <c r="D12" i="26"/>
  <c r="F9" i="26"/>
  <c r="E17" i="26"/>
  <c r="F10" i="26"/>
  <c r="F27" i="26"/>
  <c r="I17" i="26"/>
  <c r="F15" i="18"/>
  <c r="E17" i="18"/>
  <c r="D27" i="26"/>
  <c r="D26" i="26"/>
  <c r="N10" i="26"/>
  <c r="M17" i="26"/>
  <c r="G6" i="86"/>
  <c r="G17" i="18"/>
  <c r="H16" i="85"/>
  <c r="H15" i="85"/>
  <c r="D15" i="92"/>
  <c r="H16" i="92"/>
  <c r="H10" i="92"/>
  <c r="H9" i="92"/>
  <c r="F13" i="92"/>
  <c r="E19" i="92"/>
  <c r="G19" i="92"/>
  <c r="C19" i="92"/>
  <c r="N15" i="91"/>
  <c r="M17" i="91"/>
  <c r="N13" i="91"/>
  <c r="L13" i="91"/>
  <c r="L10" i="91"/>
  <c r="L9" i="91"/>
  <c r="J16" i="91"/>
  <c r="I17" i="91"/>
  <c r="J9" i="91"/>
  <c r="H26" i="90"/>
  <c r="L13" i="90"/>
  <c r="N13" i="90"/>
  <c r="F9" i="108"/>
  <c r="G6" i="96"/>
  <c r="G6" i="31"/>
  <c r="G6" i="94"/>
  <c r="G6" i="95"/>
  <c r="J27" i="26"/>
  <c r="J30" i="26"/>
  <c r="N26" i="26"/>
  <c r="K34" i="26"/>
  <c r="L29" i="26"/>
  <c r="L27" i="26"/>
  <c r="L26" i="26"/>
  <c r="F13" i="108"/>
  <c r="C7" i="107"/>
  <c r="C13" i="107"/>
  <c r="F13" i="107"/>
  <c r="F13" i="106"/>
  <c r="C9" i="107"/>
  <c r="C16" i="51"/>
  <c r="C18" i="51"/>
  <c r="J15" i="19"/>
  <c r="I17" i="19"/>
  <c r="I17" i="18"/>
  <c r="J15" i="85"/>
  <c r="J16" i="9"/>
  <c r="J15" i="9"/>
  <c r="E16" i="108"/>
  <c r="E22" i="108"/>
  <c r="E18" i="108"/>
  <c r="G17" i="51"/>
  <c r="N27" i="90"/>
  <c r="N26" i="90"/>
  <c r="J30" i="92"/>
  <c r="C18" i="85"/>
  <c r="D12" i="85"/>
  <c r="D9" i="85"/>
  <c r="F9" i="92"/>
  <c r="F10" i="92"/>
  <c r="D9" i="92"/>
  <c r="L9" i="92"/>
  <c r="J33" i="92"/>
  <c r="J32" i="92"/>
  <c r="N12" i="92"/>
  <c r="H30" i="92"/>
  <c r="H15" i="92"/>
  <c r="J27" i="92"/>
  <c r="L10" i="92"/>
  <c r="E17" i="92"/>
  <c r="C8" i="92"/>
  <c r="G34" i="92"/>
  <c r="D33" i="92"/>
  <c r="E17" i="85"/>
  <c r="F16" i="85"/>
  <c r="G19" i="85"/>
  <c r="G18" i="85"/>
  <c r="H8" i="85"/>
  <c r="H7" i="85"/>
  <c r="H11" i="85"/>
  <c r="H10" i="85"/>
  <c r="D8" i="132"/>
  <c r="D11" i="132"/>
  <c r="H11" i="132"/>
  <c r="G17" i="132"/>
  <c r="G18" i="132"/>
  <c r="C17" i="132"/>
  <c r="C18" i="132"/>
  <c r="D10" i="132"/>
  <c r="D12" i="132"/>
  <c r="D7" i="132"/>
  <c r="C17" i="92"/>
  <c r="D10" i="92"/>
  <c r="C13" i="106"/>
  <c r="F16" i="106"/>
  <c r="G16" i="106"/>
  <c r="C22" i="107"/>
  <c r="C18" i="107"/>
  <c r="D13" i="107"/>
  <c r="D9" i="107"/>
  <c r="D18" i="107"/>
  <c r="D22" i="107"/>
  <c r="E9" i="107"/>
  <c r="E13" i="107"/>
  <c r="G17" i="107"/>
  <c r="G7" i="107"/>
  <c r="E16" i="107"/>
  <c r="E22" i="107"/>
  <c r="F16" i="107"/>
  <c r="E9" i="108"/>
  <c r="D9" i="108"/>
  <c r="F16" i="108"/>
  <c r="C9" i="108"/>
  <c r="D22" i="108"/>
  <c r="E7" i="108"/>
  <c r="G8" i="108"/>
  <c r="D22" i="51"/>
  <c r="D18" i="51"/>
  <c r="C22" i="51"/>
  <c r="C7" i="51"/>
  <c r="C9" i="51"/>
  <c r="E7" i="51"/>
  <c r="E16" i="51"/>
  <c r="F22" i="107"/>
  <c r="G16" i="107"/>
  <c r="F18" i="107"/>
  <c r="E18" i="107"/>
  <c r="F22" i="108"/>
  <c r="F18" i="108"/>
  <c r="G16" i="108"/>
  <c r="G7" i="108"/>
  <c r="E13" i="108"/>
  <c r="C13" i="51"/>
  <c r="G16" i="51"/>
  <c r="E18" i="51"/>
  <c r="E13" i="51"/>
  <c r="G7" i="51"/>
  <c r="E22" i="51"/>
  <c r="E9" i="51"/>
  <c r="D18" i="106"/>
  <c r="D22" i="106"/>
  <c r="D13" i="106"/>
  <c r="D9" i="106"/>
  <c r="E22" i="106"/>
  <c r="E18" i="106"/>
  <c r="E13" i="106"/>
  <c r="G7" i="106"/>
  <c r="E9" i="106"/>
  <c r="C22" i="106"/>
  <c r="C18" i="106"/>
  <c r="F22" i="106"/>
  <c r="G17" i="106"/>
  <c r="F18" i="106"/>
</calcChain>
</file>

<file path=xl/sharedStrings.xml><?xml version="1.0" encoding="utf-8"?>
<sst xmlns="http://schemas.openxmlformats.org/spreadsheetml/2006/main" count="2452" uniqueCount="290">
  <si>
    <t>Font: Consell General del Poder Judicial. INE</t>
  </si>
  <si>
    <t>Sentència absolutòria</t>
  </si>
  <si>
    <t>Espanya</t>
  </si>
  <si>
    <t>Província</t>
  </si>
  <si>
    <t>València</t>
  </si>
  <si>
    <t>Víctimes</t>
  </si>
  <si>
    <t>Total</t>
  </si>
  <si>
    <t>Homes</t>
  </si>
  <si>
    <t>Espanyol</t>
  </si>
  <si>
    <t>Estranger</t>
  </si>
  <si>
    <t>Dones</t>
  </si>
  <si>
    <t>%</t>
  </si>
  <si>
    <t>Espanyola</t>
  </si>
  <si>
    <t>Estrangera</t>
  </si>
  <si>
    <t>Total Denúncies</t>
  </si>
  <si>
    <t>Renúncies al procés</t>
  </si>
  <si>
    <t>ÍNDEX VIOLÈNCIA DOMÈSTICA I DE GÈNERE</t>
  </si>
  <si>
    <t>Audiència Provincial</t>
  </si>
  <si>
    <t>Persones Denunciades</t>
  </si>
  <si>
    <t>-</t>
  </si>
  <si>
    <t>Persones Comdemnades</t>
  </si>
  <si>
    <t>Persones Absoltes</t>
  </si>
  <si>
    <t>Província València</t>
  </si>
  <si>
    <t>Febrer</t>
  </si>
  <si>
    <t>Març</t>
  </si>
  <si>
    <t>Abril</t>
  </si>
  <si>
    <t>Maig</t>
  </si>
  <si>
    <t>Juny</t>
  </si>
  <si>
    <t>Juliol</t>
  </si>
  <si>
    <t>Agost</t>
  </si>
  <si>
    <t>Setembre</t>
  </si>
  <si>
    <t>Novembre</t>
  </si>
  <si>
    <t>Desembre</t>
  </si>
  <si>
    <t>Octubre</t>
  </si>
  <si>
    <t>Font: Consell General del Poder Judicial.</t>
  </si>
  <si>
    <t>Nacionalitat Espanyola</t>
  </si>
  <si>
    <t>Nacionalitat Estrangera</t>
  </si>
  <si>
    <t>Gener</t>
  </si>
  <si>
    <t>Denúncies</t>
  </si>
  <si>
    <t>ÍNDICE VIOLENCIA DOMÉSTICA Y DE GÉNERO</t>
  </si>
  <si>
    <t>Denúncies per 10.000 dones</t>
  </si>
  <si>
    <t xml:space="preserve">Ratio renúncies / denúncies </t>
  </si>
  <si>
    <t>Ratio ordres / denúncies</t>
  </si>
  <si>
    <t>Total delictes</t>
  </si>
  <si>
    <t>Total faltes</t>
  </si>
  <si>
    <t>% Nacionalitat Estrangera</t>
  </si>
  <si>
    <t>Homicidi</t>
  </si>
  <si>
    <t>Avortament</t>
  </si>
  <si>
    <t>Lesions al fetus</t>
  </si>
  <si>
    <t>Lesions. Art. 153 CP</t>
  </si>
  <si>
    <t>Lesions. Art. 173 CP</t>
  </si>
  <si>
    <t>Lesions. Art. 148 i seg. CP</t>
  </si>
  <si>
    <t>Contra la llibertad</t>
  </si>
  <si>
    <t>Contra la llibertad i indemnitat sexuals</t>
  </si>
  <si>
    <t>Contra la integritat moral</t>
  </si>
  <si>
    <t>Contra drets i deures familiares</t>
  </si>
  <si>
    <t>Quebrantament de penes</t>
  </si>
  <si>
    <t>Quebrantament de mesures</t>
  </si>
  <si>
    <t>Altres</t>
  </si>
  <si>
    <t>Injúries</t>
  </si>
  <si>
    <t>Vexació injusta</t>
  </si>
  <si>
    <t>Amb mesures d'Ordres de Protecció</t>
  </si>
  <si>
    <t>Amb resta de mesures</t>
  </si>
  <si>
    <t>Sense mesures</t>
  </si>
  <si>
    <t>Pendents final trimestre</t>
  </si>
  <si>
    <t>Ordres Protecció. Total</t>
  </si>
  <si>
    <t>Ordres protecció acordades</t>
  </si>
  <si>
    <t>Ordres protecció denegades</t>
  </si>
  <si>
    <t>Sentència condemnatòria</t>
  </si>
  <si>
    <t>Sobreseïment. Lliure</t>
  </si>
  <si>
    <t>Sobreseïment. Provisional</t>
  </si>
  <si>
    <t>Jutjats de la Justícia Penal</t>
  </si>
  <si>
    <t>Jutjats de Violència sobre la Dona</t>
  </si>
  <si>
    <t>Elevació òrgan competent</t>
  </si>
  <si>
    <t>Ordres sol·licitades</t>
  </si>
  <si>
    <t>Nota: Població a 1 de gener de l'any de referència provinent de l'explotació estadística del Padró Municipal d'Habitants. www.ine.es</t>
  </si>
  <si>
    <t>Víctima Dona Espanyola</t>
  </si>
  <si>
    <t>Víctima Dona Estrangera</t>
  </si>
  <si>
    <t>Contra la intimitat i el dret a la pròpia imatge</t>
  </si>
  <si>
    <t>Contra l'honor</t>
  </si>
  <si>
    <t>Arxiu definitiu</t>
  </si>
  <si>
    <t>Arxiu definiti</t>
  </si>
  <si>
    <t>Fuente: Consejo General del Poder Judicial.</t>
  </si>
  <si>
    <t>Nota: Población a 1 de enero del año de referencia proveniente de la explotación estadística del Padrón Municipal de Habitantes. www.ine.es</t>
  </si>
  <si>
    <t>Fuente: Consejo General del Poder Judicial. INE</t>
  </si>
  <si>
    <t>1. Denuncias por Violencia de Género y renuncias al proceso en los Juzgados de Violencia sobre la Mujer. 2018</t>
  </si>
  <si>
    <t>4. Delictes i faltes instruïts per Violència de Gènere en els Jutjats de Violència sobre la Dona segons tipus. 2018</t>
  </si>
  <si>
    <t>4. Delitos y faltas instruidos por Violencia de Género en los Juzgados de Violencia sobre la Mujer según tipo. 2018</t>
  </si>
  <si>
    <t>2. Ordres de protecció, víctimes i denunciats per Violència de Gènere en els Jutjats sobre Violència sobre la Dona. 2018</t>
  </si>
  <si>
    <t>2. Órdenes de protección, víctimas y denunciados por Violencia de Genero en los Juzgados sobre Violencia sobre la Mujer. 2018</t>
  </si>
  <si>
    <t>3. Persones enjudiciades per Violència de Gènere i Domèstica en els Jutjats de Violència sobre la Dona segons condemna, nacionalitat i sexe. 2018</t>
  </si>
  <si>
    <t>3. Personas enjuiciadas por Violencia de Genero y Doméstica en los Juzgados de Violencia sobre la Mujer según condena, nacionalidad y sexo. 2018</t>
  </si>
  <si>
    <t>7. Denúncies, víctimes i persones denunciades per Violència Domèstica segons sexe i nacionalitat. 2018</t>
  </si>
  <si>
    <t>7. Denuncias, víctimas y personas denunciadas por Violencia Doméstica según sexo y nacionalidad. 2018</t>
  </si>
  <si>
    <t>Assumptes ingressats</t>
  </si>
  <si>
    <t>Fuente: Consejo General del Poder Judicial. INE.</t>
  </si>
  <si>
    <t>8. Telefonades al 016. 2019-2022</t>
  </si>
  <si>
    <t>9. Femicidis. 2019-2022</t>
  </si>
  <si>
    <t>8. Llamadas al 016. 2019-2022</t>
  </si>
  <si>
    <t>9. Femicidios. 2019-2022</t>
  </si>
  <si>
    <t>7. Denúncies, víctimes i persones denunciades per Violència Domèstica segons sexe i nacionalitat. 2018-2022</t>
  </si>
  <si>
    <t>5. Assumptes de Violència de gènere tractats als Jutjats de Primera Instància (Jutjats de Guàrdia). 2018-2022</t>
  </si>
  <si>
    <t>1. Denúncies per Violència de Gènere i renúncies al procès en els Jutjats de Violència sobre la Dona. 2018-2022</t>
  </si>
  <si>
    <t>2. Ordres de protecció, víctimes i denunciats per Violència de Gènere en els Jutjats de Violència sobre la Dona. 2018-2022</t>
  </si>
  <si>
    <t>3. Persones enjudiciades per Violència de Gènere en els Jutjats de Violència sobre la Dona, segons condemna, nacionalitat i sexe. 2018-2022</t>
  </si>
  <si>
    <t>4. Delictes i faltes instruïts per Violència de Gènere en els Jutjats de Violència sobre la Dona segons tipus. 2018-2022</t>
  </si>
  <si>
    <t>1. Denuncias por Violencia de Género y renuncias al proceso en los Juzgados de Violencia sobre la Mujer. 2018-2022</t>
  </si>
  <si>
    <t>2. Órdenes de protección, víctimas y denunciados por Violencia de Género en los Juzgados de Violencia sobre la Mujer. 2018-2022</t>
  </si>
  <si>
    <t>3. Personas enjuiciadas en España por Violencia de Género en los Juzgados de Violencia sobre la Mujer, según condena, nacionalidad y sexo. 2018-2022</t>
  </si>
  <si>
    <t>4. Delitos y faltas instruidos por Violencia de Género en los Juzgados de Violencia sobre la Mujer según tipo. 2018-2022</t>
  </si>
  <si>
    <t>5. Asuntos de Violencia de género tratados en los Juzgados de Primera Instancia (Juzgados de Guardia). 2018-2022</t>
  </si>
  <si>
    <t>6. Forma de terminación de los procedimientos de Violencia de Género según tipo de órgano judicial. 2018-2022</t>
  </si>
  <si>
    <t>7. Denuncias, víctimas y personas denunciadas por Violencia Doméstica según sexo y nacionalidad. 2018-2022</t>
  </si>
  <si>
    <t>1. Denuncias por Violencia de Género y renuncias al proceso en los Juzgados de Violencia sobre la Mujer. 2019</t>
  </si>
  <si>
    <t>1. Denuncias por Violencia de Género y renuncias al proceso en los Juzgados de Violencia sobre la Mujer. 2020</t>
  </si>
  <si>
    <t>1. Denuncias por Violencia de Género y renuncias al proceso en los Juzgados de Violencia sobre la Mujer. 2021</t>
  </si>
  <si>
    <t>1. Denuncias por Violencia de Género y renuncias al proceso en los Juzgados de Violencia sobre la Mujer. 2022</t>
  </si>
  <si>
    <t>2. Ordres de protecció, víctimes i denunciats per Violència de Gènere en els Jutjats sobre Violència sobre la Dona. 2019</t>
  </si>
  <si>
    <t>2. Órdenes de protección, víctimas y denunciados por Violencia de Genero en los Juzgados sobre Violencia sobre la Mujer. 2019</t>
  </si>
  <si>
    <t>2. Ordres de protecció, víctimes i denunciats per Violència de Gènere en els Jutjats sobre Violència sobre la Dona. 2020</t>
  </si>
  <si>
    <t>2. Órdenes de protección, víctimas y denunciados por Violencia de Genero en los Juzgados sobre Violencia sobre la Mujer. 2020</t>
  </si>
  <si>
    <t>2. Ordres de protecció, víctimes i denunciats per Violència de Gènere en els Jutjats sobre Violència sobre la Dona. 2021</t>
  </si>
  <si>
    <t>2. Órdenes de protección, víctimas y denunciados por Violencia de Genero en los Juzgados sobre Violencia sobre la Mujer. 2021</t>
  </si>
  <si>
    <t>2. Ordres de protecció, víctimes i denunciats per Violència de Gènere en els Jutjats sobre Violència sobre la Dona. 2022</t>
  </si>
  <si>
    <t>2. Órdenes de protección, víctimas y denunciados por Violencia de Genero en los Juzgados sobre Violencia sobre la Mujer. 2022</t>
  </si>
  <si>
    <t>3. Persones enjudiciades per Violència de Gènere i Domèstica en els Jutjats de Violència sobre la Dona segons condemna, nacionalitat i sexe. 2019</t>
  </si>
  <si>
    <t>3. Personas enjuiciadas por Violencia de Genero y Doméstica en los Juzgados de Violencia sobre la Mujer según condena, nacionalidad y sexo. 2019</t>
  </si>
  <si>
    <t>3. Persones enjudiciades per Violència de Gènere i Domèstica en els Jutjats de Violència sobre la Dona segons condemna, nacionalitat i sexe. 2020</t>
  </si>
  <si>
    <t>3. Personas enjuiciadas por Violencia de Genero y Doméstica en los Juzgados de Violencia sobre la Mujer según condena, nacionalidad y sexo. 2020</t>
  </si>
  <si>
    <t>3. Persones enjudiciades per Violència de Gènere i Domèstica en els Jutjats de Violència sobre la Dona segons condemna, nacionalitat i sexe. 2021</t>
  </si>
  <si>
    <t>3. Personas enjuiciadas por Violencia de Genero y Doméstica en los Juzgados de Violencia sobre la Mujer según condena, nacionalidad y sexo. 2021</t>
  </si>
  <si>
    <t>3. Persones enjudiciades per Violència de Gènere i Domèstica en els Jutjats de Violència sobre la Dona segons condemna, nacionalitat i sexe. 2022</t>
  </si>
  <si>
    <t>3. Personas enjuiciadas por Violencia de Genero y Doméstica en los Juzgados de Violencia sobre la Mujer según condena, nacionalidad y sexo. 2022</t>
  </si>
  <si>
    <t>4. Delictes i faltes instruïts per Violència de Gènere en els Jutjats de Violència sobre la Dona segons tipus. 2019</t>
  </si>
  <si>
    <t>4. Delitos y faltas instruidos por Violencia de Género en los Juzgados de Violencia sobre la Mujer según tipo. 2019</t>
  </si>
  <si>
    <t>4. Delictes i faltes instruïts per Violència de Gènere en els Jutjats de Violència sobre la Dona segons tipus. 2020</t>
  </si>
  <si>
    <t>4. Delitos y faltas instruidos por Violencia de Género en los Juzgados de Violencia sobre la Mujer según tipo. 2020</t>
  </si>
  <si>
    <t>4. Delictes i faltes instruïts per Violència de Gènere en els Jutjats de Violència sobre la Dona segons tipus. 2021</t>
  </si>
  <si>
    <t>4. Delitos y faltas instruidos por Violencia de Género en los Juzgados de Violencia sobre la Mujer según tipo. 2021</t>
  </si>
  <si>
    <t>4. Delictes i faltes instruïts per Violència de Gènere en els Jutjats de Violència sobre la Dona segons tipus. 2022</t>
  </si>
  <si>
    <t>4. Delitos y faltas instruidos por Violencia de Género en los Juzgados de Violencia sobre la Mujer según tipo. 2022</t>
  </si>
  <si>
    <t>5. Assumptes de Violència de gènere tractats als Jutjats de Primera Instància (Jutjats de Guàrdia). 2019</t>
  </si>
  <si>
    <t>5. Asuntos de Violencia de género tratados en los Juzgados de Primera Instancia (Juzgados de Guardia). 2019</t>
  </si>
  <si>
    <t>5. Assumptes de Violència de gènere tractats als Jutjats de Primera Instància (Jutjats de Guàrdia). 2020</t>
  </si>
  <si>
    <t>5. Asuntos de Violencia de género tratados en los Juzgados de Primera Instancia (Juzgados de Guardia). 2020</t>
  </si>
  <si>
    <t>5. Assumptes de Violència de gènere tractats als Jutjats de Primera Instància (Jutjats de Guàrdia). 2021</t>
  </si>
  <si>
    <t>5. Asuntos de Violencia de género tratados en los Juzgados de Primera Instancia (Juzgados de Guardia). 2021</t>
  </si>
  <si>
    <t>5. Assumptes de Violència de gènere tractats als Jutjats de Primera Instància (Jutjats de Guàrdia). 2022</t>
  </si>
  <si>
    <t>5. Asuntos de Violencia de género tratados en los Juzgados de Primera Instancia (Juzgados de Guardia). 2022</t>
  </si>
  <si>
    <t>6. Forma de terminación de los procedimientos de Violencia de Género según tipo de órgano judicial. 2018</t>
  </si>
  <si>
    <t>6. Forma de terminación de los procedimientos de Violencia de Género según tipo de órgano judicial. 2019</t>
  </si>
  <si>
    <t>6. Forma de terminación de los procedimientos de Violencia de Género según tipo de órgano judicial. 2020</t>
  </si>
  <si>
    <t>6. Forma de terminación de los procedimientos de Violencia de Género según tipo de órgano judicial. 2021</t>
  </si>
  <si>
    <t>6. Forma de terminación de los procedimientos de Violencia de Género según tipo de órgano judicial. 2022</t>
  </si>
  <si>
    <t>7. Denúncies, víctimes i persones denunciades per Violència Domèstica segons sexe i nacionalitat. 2019</t>
  </si>
  <si>
    <t>7. Denuncias, víctimas y personas denunciadas por Violencia Doméstica según sexo y nacionalidad. 2019</t>
  </si>
  <si>
    <t>7. Denúncies, víctimes i persones denunciades per Violència Domèstica segons sexe i nacionalitat. 2020</t>
  </si>
  <si>
    <t>7. Denuncias, víctimas y personas denunciadas por Violencia Doméstica según sexo y nacionalidad. 2020</t>
  </si>
  <si>
    <t>7. Denúncies, víctimes i persones denunciades per Violència Domèstica segons sexe i nacionalitat. 2021</t>
  </si>
  <si>
    <t>7. Denuncias, víctimas y personas denunciadas por Violencia Doméstica según sexo y nacionalidad. 2021</t>
  </si>
  <si>
    <t>7. Denuncias, víctimas y personas denunciadas por Violencia Doméstica según sexo y nacionalidad. 2022</t>
  </si>
  <si>
    <t>7. Denúncies, víctimes i persones denunciades per Violència Domèstica segons sexe i nacionalitat. 2022</t>
  </si>
  <si>
    <t>5. Assumptes de Violència de gènere tractats als Jutjats de Primera Instància (Jutjats de Guàrdia). 2018</t>
  </si>
  <si>
    <t>5. Asuntos de Violencia de género tratados en los Juzgados de Primera Instancia (Juzgados de Guardia). 2018</t>
  </si>
  <si>
    <t>Presentada per víctima</t>
  </si>
  <si>
    <t>Presentada per familiars</t>
  </si>
  <si>
    <t>Atestats policia amb denúncia de familiar</t>
  </si>
  <si>
    <t>Atestats policia per intervenció directa</t>
  </si>
  <si>
    <t>Part de lesions</t>
  </si>
  <si>
    <t>Serveis assistència-Tercers en general</t>
  </si>
  <si>
    <t>De nacionalitat Espanyola</t>
  </si>
  <si>
    <t>De nacionalitat Estrangera</t>
  </si>
  <si>
    <t>Total Denuncias</t>
  </si>
  <si>
    <t>Presentada por víctima</t>
  </si>
  <si>
    <t>Presentada por familiares</t>
  </si>
  <si>
    <t>Atestats policia amb denúncia de víctima</t>
  </si>
  <si>
    <t>Atestados policía con denuncia de víctima</t>
  </si>
  <si>
    <t>Atestados policía con denuncia de familiar</t>
  </si>
  <si>
    <t>Atestados policía por intervención directa</t>
  </si>
  <si>
    <t>Parte de lesiones</t>
  </si>
  <si>
    <t>Servicios asistencia-Terceros en general</t>
  </si>
  <si>
    <t>Renuncias al proceso</t>
  </si>
  <si>
    <t>De nacionalidad Española</t>
  </si>
  <si>
    <t>De nacionalidad Extranjera</t>
  </si>
  <si>
    <t>Ratio renuncias / denuncias</t>
  </si>
  <si>
    <t>Denuncias por 10.000 mujeres</t>
  </si>
  <si>
    <t>Ratio órdenes / denuncias</t>
  </si>
  <si>
    <t>España</t>
  </si>
  <si>
    <t>Comunitat Valenciana</t>
  </si>
  <si>
    <t>Comunidad Valenciana</t>
  </si>
  <si>
    <t>Provincia València</t>
  </si>
  <si>
    <t>1. Denúncies per Violència de Gènere i renúncies al procès als Jutjats de Violència sobre la Dona. 2018</t>
  </si>
  <si>
    <t>1. Denúncies per Violència de Gènere i renúncies al procès als Jutjats de Violència sobre la Dona. 2019</t>
  </si>
  <si>
    <t>1. Denúncies per Violència de Gènere i renúncies al procès als Jutjats de Violència sobre la Dona. 2020</t>
  </si>
  <si>
    <t>1. Denúncies per Violència de Gènere i renúncies al procès als Jutjats de Violència sobre la Dona. 2021</t>
  </si>
  <si>
    <t>1. Denúncies per Violència de Gènere i renúncies al procès als Jutjats de Violència sobre la Dona. 2022</t>
  </si>
  <si>
    <t>Órdenes solicitadas</t>
  </si>
  <si>
    <t>Víctima Mujer Española</t>
  </si>
  <si>
    <t>Víctima Mujer Extranjera</t>
  </si>
  <si>
    <t>% Víctima Estrangera</t>
  </si>
  <si>
    <t>% Denunciat Estranger</t>
  </si>
  <si>
    <t>% Víctima Extranjera</t>
  </si>
  <si>
    <t>% Denunciado Extranjero</t>
  </si>
  <si>
    <t>Denunciado Hombre Español</t>
  </si>
  <si>
    <t>Denunciat Home Espanyol</t>
  </si>
  <si>
    <t>Denunciat Home Estranger</t>
  </si>
  <si>
    <t>Denunciado Hombre Extranjero</t>
  </si>
  <si>
    <t xml:space="preserve">València /
Província </t>
  </si>
  <si>
    <t xml:space="preserve">València /
Provincia </t>
  </si>
  <si>
    <t>Elaboració: Oficina d'Estadística. Ajuntament de València.</t>
  </si>
  <si>
    <t>Elaboración: Oficina de Estadística. Ayuntamiento de València.</t>
  </si>
  <si>
    <t>Hombres</t>
  </si>
  <si>
    <t>Mujeres</t>
  </si>
  <si>
    <t>Personas Absueltas</t>
  </si>
  <si>
    <t>Personas Condenadas</t>
  </si>
  <si>
    <t>Nacionalidad Española</t>
  </si>
  <si>
    <t>Nacionalidad Extranjera</t>
  </si>
  <si>
    <t>% Nacionalidad Extranjera</t>
  </si>
  <si>
    <t>Total delitos</t>
  </si>
  <si>
    <t>Homicidio</t>
  </si>
  <si>
    <t>Aborto</t>
  </si>
  <si>
    <t>Lesiones al feto</t>
  </si>
  <si>
    <t>Contra la libertad</t>
  </si>
  <si>
    <t>Contra la libertad e indemnidad sexuales</t>
  </si>
  <si>
    <t>Contra la integridad moral</t>
  </si>
  <si>
    <t>Contra la intimidad y el derecho a la propia imagen</t>
  </si>
  <si>
    <t>Contra el honor</t>
  </si>
  <si>
    <t>Contra derechos y deberes familiares</t>
  </si>
  <si>
    <t>Quebrantamiento de penas</t>
  </si>
  <si>
    <t>Quebrantamiento de medidas</t>
  </si>
  <si>
    <t>Otros</t>
  </si>
  <si>
    <t>Total faltas</t>
  </si>
  <si>
    <t>Injurias</t>
  </si>
  <si>
    <t>Vejación injusta</t>
  </si>
  <si>
    <t>Asuntos ingresados</t>
  </si>
  <si>
    <t>Con medidas de Órdenes de Protección</t>
  </si>
  <si>
    <t>Con resto de medidas</t>
  </si>
  <si>
    <t>Sin medidas</t>
  </si>
  <si>
    <t>Pendientes final trimestre</t>
  </si>
  <si>
    <t>Órdenes Protección. Total</t>
  </si>
  <si>
    <t>Víctima Dona Espanyola major edat</t>
  </si>
  <si>
    <t>Víctima Dona Espanyola menor edat</t>
  </si>
  <si>
    <t>Víctima Dona Estrangera major edat</t>
  </si>
  <si>
    <t>Víctima Dona Estrangera menor edat</t>
  </si>
  <si>
    <t>Víctima Mujer Española mayor edad</t>
  </si>
  <si>
    <t>Víctima Mujer Española menor edad</t>
  </si>
  <si>
    <t>Víctima Mujer Extranjera mayor edad</t>
  </si>
  <si>
    <t>Víctima Mujer Extranjera menor edad</t>
  </si>
  <si>
    <t>Órdenes protección acordadas</t>
  </si>
  <si>
    <t>Órdenes protección denegadas</t>
  </si>
  <si>
    <t>Remeses al JVSD</t>
  </si>
  <si>
    <t>Remitidas al JVM</t>
  </si>
  <si>
    <t>Sentencia absolutoria</t>
  </si>
  <si>
    <t>Sentencia condenatoria</t>
  </si>
  <si>
    <t>Sobreseimiento. Libre</t>
  </si>
  <si>
    <t>Sobreseimiento. Provisional</t>
  </si>
  <si>
    <t>Elevación órgano competente</t>
  </si>
  <si>
    <t>Juzgados de Violencia sobre la Mujer</t>
  </si>
  <si>
    <t>Juzgados de la Justicia Penal</t>
  </si>
  <si>
    <t>Archivo definitivo</t>
  </si>
  <si>
    <t>Audiencia Provincial</t>
  </si>
  <si>
    <t>6. Forma de terminació dels procediments de Violència de Gènere segons tipus d'òrgan judicial. 2018</t>
  </si>
  <si>
    <t>6. Forma de terminació dels procediments de Violència de Gènere segons tipus d'òrgan judicial. 2019</t>
  </si>
  <si>
    <t>6. Forma de terminació dels procediments de Violència de Gènere segons tipus d'òrgan judicial. 2020</t>
  </si>
  <si>
    <t>6. Forma de terminació dels procediments de Violència de Gènere segons tipus d'òrgan judicial. 2021</t>
  </si>
  <si>
    <t>6. Forma de terminació dels procediments de Violència de Gènere segons tipus d'òrgan judicial. 2022</t>
  </si>
  <si>
    <t>6. Forma de terminació dels procediments de Violència de Gènere segons tipus d'òrgan judicial. 2018-2022</t>
  </si>
  <si>
    <t>Denuncias</t>
  </si>
  <si>
    <t>Víctimas</t>
  </si>
  <si>
    <t>Español</t>
  </si>
  <si>
    <t>Extranjero</t>
  </si>
  <si>
    <t>Española</t>
  </si>
  <si>
    <t>Extranjera</t>
  </si>
  <si>
    <t>Personas Denunciadas</t>
  </si>
  <si>
    <t>Fuente: Delegación del Gobierno para la Violencia de Género. Ministerio de Igualdad.</t>
  </si>
  <si>
    <t>Mujeres asesinadas. Con protección</t>
  </si>
  <si>
    <t>Mujeres asesinadas. Sin protección</t>
  </si>
  <si>
    <t>Enero</t>
  </si>
  <si>
    <t>Febrero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</si>
  <si>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</si>
  <si>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</si>
  <si>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</si>
  <si>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</si>
  <si>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</si>
  <si>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</si>
  <si>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</si>
  <si>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</si>
  <si>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Dones assassinades. Amb protecció</t>
  </si>
  <si>
    <t>Dones assassinades. Sense protecció</t>
  </si>
  <si>
    <t>Font: Delegació del Govern per a la Violència de Gènere. Ministeri d'Igualtat.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</si>
</sst>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8" formatCode="0.0%"/>
    <numFmt numFmtId="190" formatCode="#,##0.0"/>
    <numFmt numFmtId="195" formatCode="0.000"/>
    <numFmt numFmtId="204" formatCode="0.000%"/>
    <numFmt numFmtId="210" formatCode="0.0E+00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0" fillId="0" borderId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5" fillId="0" borderId="0" xfId="0" applyFont="1"/>
    <xf numFmtId="3" fontId="6" fillId="0" borderId="0" xfId="0" applyNumberFormat="1" applyFont="1" applyBorder="1"/>
    <xf numFmtId="188" fontId="4" fillId="0" borderId="0" xfId="0" quotePrefix="1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5" applyFont="1" applyFill="1" applyBorder="1" applyAlignment="1">
      <alignment horizontal="right" wrapText="1"/>
    </xf>
    <xf numFmtId="0" fontId="6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 indent="2"/>
    </xf>
    <xf numFmtId="0" fontId="6" fillId="2" borderId="0" xfId="0" applyFont="1" applyFill="1" applyAlignment="1"/>
    <xf numFmtId="0" fontId="4" fillId="0" borderId="0" xfId="0" applyFont="1" applyFill="1"/>
    <xf numFmtId="0" fontId="4" fillId="0" borderId="0" xfId="0" applyFont="1" applyAlignment="1">
      <alignment wrapText="1"/>
    </xf>
    <xf numFmtId="0" fontId="6" fillId="0" borderId="0" xfId="0" applyFont="1" applyBorder="1"/>
    <xf numFmtId="3" fontId="4" fillId="0" borderId="0" xfId="0" applyNumberFormat="1" applyFont="1"/>
    <xf numFmtId="188" fontId="4" fillId="0" borderId="0" xfId="0" applyNumberFormat="1" applyFont="1"/>
    <xf numFmtId="0" fontId="6" fillId="2" borderId="0" xfId="5" applyFont="1" applyFill="1" applyBorder="1" applyAlignment="1">
      <alignment horizontal="right" vertical="center" wrapText="1"/>
    </xf>
    <xf numFmtId="188" fontId="4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6" fillId="0" borderId="0" xfId="5" applyFont="1" applyFill="1" applyBorder="1" applyAlignment="1">
      <alignment horizontal="left" wrapTex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indent="3"/>
    </xf>
    <xf numFmtId="0" fontId="4" fillId="0" borderId="0" xfId="0" applyFont="1" applyFill="1" applyBorder="1" applyAlignment="1">
      <alignment horizontal="left" indent="3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3" fillId="0" borderId="0" xfId="1" applyAlignment="1" applyProtection="1"/>
    <xf numFmtId="0" fontId="4" fillId="0" borderId="0" xfId="0" applyFont="1" applyBorder="1" applyAlignment="1">
      <alignment vertical="center"/>
    </xf>
    <xf numFmtId="195" fontId="4" fillId="0" borderId="0" xfId="0" applyNumberFormat="1" applyFont="1"/>
    <xf numFmtId="10" fontId="4" fillId="0" borderId="0" xfId="0" applyNumberFormat="1" applyFont="1"/>
    <xf numFmtId="210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88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188" fontId="4" fillId="0" borderId="0" xfId="0" quotePrefix="1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9" fontId="6" fillId="0" borderId="0" xfId="0" quotePrefix="1" applyNumberFormat="1" applyFont="1" applyFill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9" fontId="6" fillId="0" borderId="0" xfId="0" quotePrefix="1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188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88" fontId="4" fillId="0" borderId="0" xfId="0" applyNumberFormat="1" applyFont="1" applyBorder="1" applyAlignment="1">
      <alignment horizontal="right"/>
    </xf>
    <xf numFmtId="188" fontId="4" fillId="0" borderId="0" xfId="0" quotePrefix="1" applyNumberFormat="1" applyFont="1" applyFill="1" applyBorder="1" applyAlignment="1">
      <alignment horizontal="right"/>
    </xf>
    <xf numFmtId="188" fontId="6" fillId="0" borderId="0" xfId="0" applyNumberFormat="1" applyFont="1" applyFill="1" applyBorder="1" applyAlignment="1">
      <alignment horizontal="right"/>
    </xf>
    <xf numFmtId="188" fontId="6" fillId="0" borderId="0" xfId="0" applyNumberFormat="1" applyFont="1" applyBorder="1" applyAlignment="1">
      <alignment horizontal="right"/>
    </xf>
    <xf numFmtId="0" fontId="4" fillId="0" borderId="0" xfId="0" applyFont="1" applyAlignment="1"/>
    <xf numFmtId="3" fontId="4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right"/>
    </xf>
    <xf numFmtId="0" fontId="6" fillId="2" borderId="0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9" fontId="6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88" fontId="6" fillId="0" borderId="0" xfId="0" applyNumberFormat="1" applyFont="1" applyAlignment="1">
      <alignment horizontal="right"/>
    </xf>
    <xf numFmtId="9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188" fontId="6" fillId="0" borderId="0" xfId="0" quotePrefix="1" applyNumberFormat="1" applyFont="1" applyBorder="1" applyAlignment="1">
      <alignment horizontal="right"/>
    </xf>
    <xf numFmtId="3" fontId="4" fillId="0" borderId="0" xfId="0" applyNumberFormat="1" applyFont="1" applyFill="1" applyBorder="1" applyAlignment="1"/>
    <xf numFmtId="0" fontId="6" fillId="2" borderId="0" xfId="5" applyFont="1" applyFill="1" applyBorder="1" applyAlignment="1">
      <alignment horizontal="left" wrapText="1"/>
    </xf>
    <xf numFmtId="0" fontId="4" fillId="0" borderId="0" xfId="0" applyFont="1" applyFill="1" applyAlignment="1"/>
    <xf numFmtId="0" fontId="5" fillId="0" borderId="0" xfId="0" applyFont="1" applyAlignment="1"/>
    <xf numFmtId="0" fontId="8" fillId="0" borderId="0" xfId="0" applyFont="1" applyAlignment="1">
      <alignment horizontal="left"/>
    </xf>
    <xf numFmtId="0" fontId="4" fillId="0" borderId="0" xfId="0" applyNumberFormat="1" applyFont="1" applyAlignment="1"/>
    <xf numFmtId="204" fontId="4" fillId="0" borderId="0" xfId="0" applyNumberFormat="1" applyFont="1" applyAlignment="1"/>
    <xf numFmtId="10" fontId="4" fillId="0" borderId="0" xfId="0" applyNumberFormat="1" applyFont="1" applyAlignment="1"/>
    <xf numFmtId="3" fontId="4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Border="1" applyAlignment="1"/>
    <xf numFmtId="3" fontId="6" fillId="0" borderId="0" xfId="5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3" fontId="4" fillId="0" borderId="0" xfId="0" applyNumberFormat="1" applyFont="1" applyAlignment="1"/>
    <xf numFmtId="0" fontId="4" fillId="0" borderId="0" xfId="6" applyNumberFormat="1" applyFont="1" applyBorder="1" applyAlignment="1">
      <alignment horizontal="right"/>
    </xf>
    <xf numFmtId="3" fontId="4" fillId="0" borderId="0" xfId="6" applyNumberFormat="1" applyFont="1" applyBorder="1" applyAlignment="1">
      <alignment horizontal="right"/>
    </xf>
    <xf numFmtId="0" fontId="4" fillId="0" borderId="0" xfId="6" quotePrefix="1" applyNumberFormat="1" applyFont="1" applyBorder="1" applyAlignment="1">
      <alignment horizontal="right"/>
    </xf>
    <xf numFmtId="9" fontId="4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/>
    <xf numFmtId="0" fontId="6" fillId="0" borderId="0" xfId="0" applyFont="1" applyAlignment="1">
      <alignment horizontal="right"/>
    </xf>
    <xf numFmtId="0" fontId="9" fillId="0" borderId="0" xfId="0" applyFont="1"/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6" fillId="0" borderId="0" xfId="0" applyNumberFormat="1" applyFont="1" applyFill="1" applyBorder="1" applyAlignment="1">
      <alignment horizontal="right" wrapText="1"/>
    </xf>
    <xf numFmtId="188" fontId="6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Border="1" applyAlignment="1">
      <alignment horizontal="right" wrapText="1"/>
    </xf>
    <xf numFmtId="188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9" fontId="4" fillId="0" borderId="0" xfId="0" applyNumberFormat="1" applyFont="1" applyFill="1" applyBorder="1" applyAlignment="1">
      <alignment horizontal="right" wrapText="1"/>
    </xf>
    <xf numFmtId="188" fontId="4" fillId="0" borderId="0" xfId="0" applyNumberFormat="1" applyFont="1" applyFill="1" applyBorder="1" applyAlignment="1">
      <alignment horizontal="right" wrapText="1"/>
    </xf>
    <xf numFmtId="188" fontId="6" fillId="0" borderId="0" xfId="0" applyNumberFormat="1" applyFont="1" applyBorder="1" applyAlignment="1">
      <alignment horizontal="center"/>
    </xf>
    <xf numFmtId="190" fontId="6" fillId="0" borderId="0" xfId="0" applyNumberFormat="1" applyFont="1" applyBorder="1" applyAlignment="1">
      <alignment horizontal="center"/>
    </xf>
    <xf numFmtId="190" fontId="6" fillId="0" borderId="0" xfId="0" applyNumberFormat="1" applyFont="1" applyFill="1" applyBorder="1" applyAlignment="1">
      <alignment horizontal="center"/>
    </xf>
    <xf numFmtId="188" fontId="6" fillId="0" borderId="0" xfId="0" applyNumberFormat="1" applyFont="1" applyFill="1" applyBorder="1" applyAlignment="1">
      <alignment horizontal="center"/>
    </xf>
    <xf numFmtId="188" fontId="4" fillId="0" borderId="0" xfId="0" applyNumberFormat="1" applyFont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88" fontId="6" fillId="0" borderId="0" xfId="0" applyNumberFormat="1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188" fontId="6" fillId="0" borderId="0" xfId="0" applyNumberFormat="1" applyFont="1" applyFill="1" applyAlignment="1">
      <alignment horizontal="center"/>
    </xf>
    <xf numFmtId="188" fontId="4" fillId="0" borderId="0" xfId="0" applyNumberFormat="1" applyFont="1" applyFill="1" applyAlignment="1">
      <alignment horizontal="center"/>
    </xf>
    <xf numFmtId="9" fontId="6" fillId="0" borderId="0" xfId="0" applyNumberFormat="1" applyFont="1" applyAlignment="1">
      <alignment horizontal="center"/>
    </xf>
    <xf numFmtId="0" fontId="6" fillId="2" borderId="0" xfId="5" applyFont="1" applyFill="1" applyBorder="1" applyAlignment="1">
      <alignment horizontal="center" wrapText="1"/>
    </xf>
  </cellXfs>
  <cellStyles count="7">
    <cellStyle name="Hipervínculo" xfId="1" builtinId="8"/>
    <cellStyle name="Hipervínculo 2" xfId="2"/>
    <cellStyle name="Normal" xfId="0" builtinId="0"/>
    <cellStyle name="Normal 2" xfId="3"/>
    <cellStyle name="Normal 3" xfId="4"/>
    <cellStyle name="Normal_5_Classificacions_de_la_poblacio_per_barris" xfId="5"/>
    <cellStyle name="Porcentaj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L18"/>
  <sheetViews>
    <sheetView tabSelected="1" workbookViewId="0">
      <selection activeCell="A3" sqref="A3"/>
    </sheetView>
  </sheetViews>
  <sheetFormatPr baseColWidth="10" defaultColWidth="9.140625" defaultRowHeight="12.75" x14ac:dyDescent="0.2"/>
  <cols>
    <col min="1" max="1" width="123.7109375" style="1" customWidth="1"/>
    <col min="2" max="16384" width="9.140625" style="1"/>
  </cols>
  <sheetData>
    <row r="2" spans="1:12" x14ac:dyDescent="0.2">
      <c r="A2" s="14" t="s">
        <v>16</v>
      </c>
      <c r="B2" s="15"/>
      <c r="C2" s="15"/>
      <c r="D2" s="15"/>
      <c r="E2" s="15"/>
      <c r="F2" s="15"/>
    </row>
    <row r="4" spans="1:12" x14ac:dyDescent="0.2">
      <c r="A4" s="1" t="s">
        <v>102</v>
      </c>
    </row>
    <row r="5" spans="1:12" x14ac:dyDescent="0.2">
      <c r="A5" s="1" t="s">
        <v>103</v>
      </c>
    </row>
    <row r="6" spans="1:12" x14ac:dyDescent="0.2">
      <c r="A6" s="7" t="s">
        <v>104</v>
      </c>
    </row>
    <row r="7" spans="1:12" x14ac:dyDescent="0.2">
      <c r="A7" s="1" t="s">
        <v>105</v>
      </c>
    </row>
    <row r="8" spans="1:12" x14ac:dyDescent="0.2">
      <c r="A8" s="1" t="s">
        <v>101</v>
      </c>
    </row>
    <row r="9" spans="1:12" x14ac:dyDescent="0.2">
      <c r="A9" s="7" t="s">
        <v>266</v>
      </c>
    </row>
    <row r="10" spans="1:12" x14ac:dyDescent="0.2">
      <c r="A10" s="1" t="s">
        <v>100</v>
      </c>
    </row>
    <row r="11" spans="1:12" x14ac:dyDescent="0.2">
      <c r="A11" s="22" t="s">
        <v>96</v>
      </c>
    </row>
    <row r="12" spans="1:12" x14ac:dyDescent="0.2">
      <c r="A12" s="22" t="s">
        <v>97</v>
      </c>
    </row>
    <row r="13" spans="1:12" x14ac:dyDescent="0.2">
      <c r="L13" s="16"/>
    </row>
    <row r="14" spans="1:12" x14ac:dyDescent="0.2">
      <c r="A14" s="6"/>
      <c r="L14" s="16"/>
    </row>
    <row r="15" spans="1:12" x14ac:dyDescent="0.2">
      <c r="A15" s="25"/>
      <c r="L15" s="16"/>
    </row>
    <row r="16" spans="1:12" x14ac:dyDescent="0.2">
      <c r="A16" s="7"/>
      <c r="L16" s="5"/>
    </row>
    <row r="17" spans="1:12" x14ac:dyDescent="0.2">
      <c r="A17" s="7"/>
      <c r="L17" s="24"/>
    </row>
    <row r="18" spans="1:12" x14ac:dyDescent="0.2">
      <c r="L18" s="5"/>
    </row>
  </sheetData>
  <phoneticPr fontId="0" type="noConversion"/>
  <pageMargins left="0.38" right="0.31" top="1" bottom="1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16"/>
  <sheetViews>
    <sheetView workbookViewId="0">
      <selection activeCell="A3" sqref="A3"/>
    </sheetView>
  </sheetViews>
  <sheetFormatPr baseColWidth="10" defaultRowHeight="12.75" x14ac:dyDescent="0.2"/>
  <cols>
    <col min="1" max="2" width="25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119</v>
      </c>
    </row>
    <row r="2" spans="1:7" x14ac:dyDescent="0.2">
      <c r="A2" s="24" t="s">
        <v>120</v>
      </c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74</v>
      </c>
      <c r="B6" s="5" t="s">
        <v>196</v>
      </c>
      <c r="C6" s="48">
        <f>C8+C7</f>
        <v>35860</v>
      </c>
      <c r="D6" s="48">
        <f>D8+D7</f>
        <v>4755</v>
      </c>
      <c r="E6" s="48">
        <f>E8+E7</f>
        <v>2314</v>
      </c>
      <c r="F6" s="48">
        <f>F8+F7</f>
        <v>1007</v>
      </c>
      <c r="G6" s="58">
        <f>F6/E6</f>
        <v>0.43517718236819358</v>
      </c>
    </row>
    <row r="7" spans="1:7" x14ac:dyDescent="0.2">
      <c r="A7" s="22" t="s">
        <v>76</v>
      </c>
      <c r="B7" s="22" t="s">
        <v>197</v>
      </c>
      <c r="C7" s="52">
        <v>24124</v>
      </c>
      <c r="D7" s="52">
        <v>3043</v>
      </c>
      <c r="E7" s="52">
        <v>1497</v>
      </c>
      <c r="F7" s="52">
        <v>469</v>
      </c>
      <c r="G7" s="55">
        <f>F7/E7</f>
        <v>0.31329325317301271</v>
      </c>
    </row>
    <row r="8" spans="1:7" x14ac:dyDescent="0.2">
      <c r="A8" s="1" t="s">
        <v>77</v>
      </c>
      <c r="B8" s="1" t="s">
        <v>198</v>
      </c>
      <c r="C8" s="52">
        <v>11736</v>
      </c>
      <c r="D8" s="52">
        <v>1712</v>
      </c>
      <c r="E8" s="52">
        <v>817</v>
      </c>
      <c r="F8" s="52">
        <v>538</v>
      </c>
      <c r="G8" s="55">
        <f>F8/E8</f>
        <v>0.6585067319461444</v>
      </c>
    </row>
    <row r="9" spans="1:7" x14ac:dyDescent="0.2">
      <c r="A9" s="27" t="s">
        <v>199</v>
      </c>
      <c r="B9" s="27" t="s">
        <v>201</v>
      </c>
      <c r="C9" s="53">
        <f>C8/(C7+C8)</f>
        <v>0.32727272727272727</v>
      </c>
      <c r="D9" s="53">
        <f>D8/(D7+D8)</f>
        <v>0.36004206098843322</v>
      </c>
      <c r="E9" s="53">
        <f>E8/(E7+E8)</f>
        <v>0.35306828003457219</v>
      </c>
      <c r="F9" s="53">
        <f>F8/(F7+F8)</f>
        <v>0.53426017874875864</v>
      </c>
      <c r="G9" s="4" t="s">
        <v>19</v>
      </c>
    </row>
    <row r="10" spans="1:7" x14ac:dyDescent="0.2">
      <c r="A10" s="1" t="s">
        <v>204</v>
      </c>
      <c r="B10" s="1" t="s">
        <v>203</v>
      </c>
      <c r="C10" s="52">
        <v>24124</v>
      </c>
      <c r="D10" s="52">
        <v>3025</v>
      </c>
      <c r="E10" s="52">
        <v>1474</v>
      </c>
      <c r="F10" s="52">
        <v>434</v>
      </c>
      <c r="G10" s="55">
        <f>F10/E10</f>
        <v>0.29443690637720488</v>
      </c>
    </row>
    <row r="11" spans="1:7" x14ac:dyDescent="0.2">
      <c r="A11" s="1" t="s">
        <v>205</v>
      </c>
      <c r="B11" s="1" t="s">
        <v>206</v>
      </c>
      <c r="C11" s="52">
        <v>11736</v>
      </c>
      <c r="D11" s="52">
        <v>1730</v>
      </c>
      <c r="E11" s="52">
        <v>840</v>
      </c>
      <c r="F11" s="52">
        <v>513</v>
      </c>
      <c r="G11" s="55">
        <f>F11/E11</f>
        <v>0.61071428571428577</v>
      </c>
    </row>
    <row r="12" spans="1:7" x14ac:dyDescent="0.2">
      <c r="A12" s="27" t="s">
        <v>200</v>
      </c>
      <c r="B12" s="27" t="s">
        <v>202</v>
      </c>
      <c r="C12" s="53">
        <f>C11/(C10+C11)</f>
        <v>0.32727272727272727</v>
      </c>
      <c r="D12" s="53">
        <f>D11/(D10+D11)</f>
        <v>0.36382754994742378</v>
      </c>
      <c r="E12" s="53">
        <f>E11/(E10+E11)</f>
        <v>0.36300777873811579</v>
      </c>
      <c r="F12" s="53">
        <f>F11/(F10+F11)</f>
        <v>0.5417106652587117</v>
      </c>
      <c r="G12" s="4" t="s">
        <v>19</v>
      </c>
    </row>
    <row r="13" spans="1:7" x14ac:dyDescent="0.2">
      <c r="A13" s="2" t="s">
        <v>209</v>
      </c>
    </row>
    <row r="14" spans="1:7" x14ac:dyDescent="0.2">
      <c r="A14" s="2" t="s">
        <v>210</v>
      </c>
    </row>
    <row r="15" spans="1:7" x14ac:dyDescent="0.2">
      <c r="A15" s="2" t="s">
        <v>34</v>
      </c>
    </row>
    <row r="16" spans="1:7" x14ac:dyDescent="0.2">
      <c r="A16" s="2" t="s">
        <v>82</v>
      </c>
    </row>
  </sheetData>
  <pageMargins left="0.39370078740157483" right="0.27559055118110237" top="0.98425196850393704" bottom="0.98425196850393704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G16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25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121</v>
      </c>
      <c r="B1" s="5"/>
    </row>
    <row r="2" spans="1:7" x14ac:dyDescent="0.2">
      <c r="A2" s="24" t="s">
        <v>122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74</v>
      </c>
      <c r="B6" s="5" t="s">
        <v>196</v>
      </c>
      <c r="C6" s="48">
        <f>C7+C8</f>
        <v>37270</v>
      </c>
      <c r="D6" s="48">
        <f>D7+D8</f>
        <v>5198</v>
      </c>
      <c r="E6" s="48">
        <f>E7+E8</f>
        <v>2502</v>
      </c>
      <c r="F6" s="48">
        <f>F7+F8</f>
        <v>1007</v>
      </c>
      <c r="G6" s="58">
        <f>F6/E6</f>
        <v>0.40247801758593127</v>
      </c>
    </row>
    <row r="7" spans="1:7" x14ac:dyDescent="0.2">
      <c r="A7" s="22" t="s">
        <v>76</v>
      </c>
      <c r="B7" s="22" t="s">
        <v>197</v>
      </c>
      <c r="C7" s="52">
        <v>25042</v>
      </c>
      <c r="D7" s="52">
        <v>3199</v>
      </c>
      <c r="E7" s="52">
        <v>1568</v>
      </c>
      <c r="F7" s="52">
        <v>469</v>
      </c>
      <c r="G7" s="55">
        <f>F7/E7</f>
        <v>0.29910714285714285</v>
      </c>
    </row>
    <row r="8" spans="1:7" x14ac:dyDescent="0.2">
      <c r="A8" s="1" t="s">
        <v>77</v>
      </c>
      <c r="B8" s="1" t="s">
        <v>198</v>
      </c>
      <c r="C8" s="52">
        <v>12228</v>
      </c>
      <c r="D8" s="52">
        <v>1999</v>
      </c>
      <c r="E8" s="52">
        <v>934</v>
      </c>
      <c r="F8" s="52">
        <v>538</v>
      </c>
      <c r="G8" s="55">
        <f>F8/E8</f>
        <v>0.57601713062098503</v>
      </c>
    </row>
    <row r="9" spans="1:7" x14ac:dyDescent="0.2">
      <c r="A9" s="27" t="s">
        <v>199</v>
      </c>
      <c r="B9" s="27" t="s">
        <v>201</v>
      </c>
      <c r="C9" s="53">
        <f>C8/(C7+C8)</f>
        <v>0.32809229943654411</v>
      </c>
      <c r="D9" s="53">
        <f>D8/(D7+D8)</f>
        <v>0.38457098884186225</v>
      </c>
      <c r="E9" s="53">
        <f>E8/(E7+E8)</f>
        <v>0.3733013589128697</v>
      </c>
      <c r="F9" s="53">
        <f>F8/(F7+F8)</f>
        <v>0.53426017874875864</v>
      </c>
      <c r="G9" s="4" t="s">
        <v>19</v>
      </c>
    </row>
    <row r="10" spans="1:7" x14ac:dyDescent="0.2">
      <c r="A10" s="1" t="s">
        <v>204</v>
      </c>
      <c r="B10" s="1" t="s">
        <v>203</v>
      </c>
      <c r="C10" s="52">
        <v>24939</v>
      </c>
      <c r="D10" s="52">
        <v>3245</v>
      </c>
      <c r="E10" s="52">
        <v>1584</v>
      </c>
      <c r="F10" s="52">
        <v>494</v>
      </c>
      <c r="G10" s="55">
        <f>F10/E10</f>
        <v>0.31186868686868685</v>
      </c>
    </row>
    <row r="11" spans="1:7" x14ac:dyDescent="0.2">
      <c r="A11" s="1" t="s">
        <v>205</v>
      </c>
      <c r="B11" s="1" t="s">
        <v>206</v>
      </c>
      <c r="C11" s="52">
        <v>12330</v>
      </c>
      <c r="D11" s="52">
        <v>1953</v>
      </c>
      <c r="E11" s="52">
        <v>918</v>
      </c>
      <c r="F11" s="52">
        <v>513</v>
      </c>
      <c r="G11" s="55">
        <f>F11/E11</f>
        <v>0.55882352941176472</v>
      </c>
    </row>
    <row r="12" spans="1:7" x14ac:dyDescent="0.2">
      <c r="A12" s="27" t="s">
        <v>200</v>
      </c>
      <c r="B12" s="27" t="s">
        <v>202</v>
      </c>
      <c r="C12" s="53">
        <f>C11/(C10+C11)</f>
        <v>0.330837961844965</v>
      </c>
      <c r="D12" s="53">
        <f>D11/(D10+D11)</f>
        <v>0.37572143131973834</v>
      </c>
      <c r="E12" s="53">
        <f>E11/(E10+E11)</f>
        <v>0.36690647482014388</v>
      </c>
      <c r="F12" s="53">
        <f>F11/(F10+F11)</f>
        <v>0.50943396226415094</v>
      </c>
      <c r="G12" s="4" t="s">
        <v>19</v>
      </c>
    </row>
    <row r="13" spans="1:7" x14ac:dyDescent="0.2">
      <c r="A13" s="2" t="s">
        <v>209</v>
      </c>
      <c r="B13" s="2"/>
    </row>
    <row r="14" spans="1:7" x14ac:dyDescent="0.2">
      <c r="A14" s="2" t="s">
        <v>210</v>
      </c>
      <c r="B14" s="2"/>
    </row>
    <row r="15" spans="1:7" x14ac:dyDescent="0.2">
      <c r="A15" s="2" t="s">
        <v>34</v>
      </c>
      <c r="B15" s="2"/>
    </row>
    <row r="16" spans="1:7" x14ac:dyDescent="0.2">
      <c r="A16" s="2" t="s">
        <v>82</v>
      </c>
      <c r="B16" s="2"/>
    </row>
  </sheetData>
  <pageMargins left="0.39370078740157483" right="0.27559055118110237" top="0.98425196850393704" bottom="0.98425196850393704" header="0" footer="0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G16"/>
  <sheetViews>
    <sheetView workbookViewId="0">
      <selection activeCell="A3" sqref="A3"/>
    </sheetView>
  </sheetViews>
  <sheetFormatPr baseColWidth="10" defaultRowHeight="12.75" x14ac:dyDescent="0.2"/>
  <cols>
    <col min="1" max="2" width="25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123</v>
      </c>
      <c r="B1" s="5"/>
    </row>
    <row r="2" spans="1:7" x14ac:dyDescent="0.2">
      <c r="A2" s="24" t="s">
        <v>124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74</v>
      </c>
      <c r="B6" s="5" t="s">
        <v>196</v>
      </c>
      <c r="C6" s="48">
        <f>C7+C8</f>
        <v>39872</v>
      </c>
      <c r="D6" s="48">
        <f>D7+D8</f>
        <v>5456</v>
      </c>
      <c r="E6" s="48">
        <f>E7+E8</f>
        <v>2781</v>
      </c>
      <c r="F6" s="48">
        <f>F7+F8</f>
        <v>1095</v>
      </c>
      <c r="G6" s="58">
        <f>F6/E6</f>
        <v>0.39374325782092773</v>
      </c>
    </row>
    <row r="7" spans="1:7" x14ac:dyDescent="0.2">
      <c r="A7" s="22" t="s">
        <v>76</v>
      </c>
      <c r="B7" s="22" t="s">
        <v>197</v>
      </c>
      <c r="C7" s="52">
        <v>26477</v>
      </c>
      <c r="D7" s="52">
        <v>3342</v>
      </c>
      <c r="E7" s="52">
        <v>1764</v>
      </c>
      <c r="F7" s="52">
        <v>575</v>
      </c>
      <c r="G7" s="55">
        <f>F7/E7</f>
        <v>0.32596371882086167</v>
      </c>
    </row>
    <row r="8" spans="1:7" x14ac:dyDescent="0.2">
      <c r="A8" s="1" t="s">
        <v>77</v>
      </c>
      <c r="B8" s="1" t="s">
        <v>198</v>
      </c>
      <c r="C8" s="52">
        <v>13395</v>
      </c>
      <c r="D8" s="52">
        <v>2114</v>
      </c>
      <c r="E8" s="52">
        <v>1017</v>
      </c>
      <c r="F8" s="52">
        <v>520</v>
      </c>
      <c r="G8" s="55">
        <f>F8/E8</f>
        <v>0.51130776794493604</v>
      </c>
    </row>
    <row r="9" spans="1:7" x14ac:dyDescent="0.2">
      <c r="A9" s="27" t="s">
        <v>199</v>
      </c>
      <c r="B9" s="27" t="s">
        <v>201</v>
      </c>
      <c r="C9" s="53">
        <f>C8/(C7+C8)</f>
        <v>0.3359500401284109</v>
      </c>
      <c r="D9" s="53">
        <f>D8/(D7+D8)</f>
        <v>0.38746334310850439</v>
      </c>
      <c r="E9" s="53">
        <f>E8/(E7+E8)</f>
        <v>0.36569579288025889</v>
      </c>
      <c r="F9" s="53">
        <f>F8/(F7+F8)</f>
        <v>0.47488584474885842</v>
      </c>
      <c r="G9" s="4" t="s">
        <v>19</v>
      </c>
    </row>
    <row r="10" spans="1:7" x14ac:dyDescent="0.2">
      <c r="A10" s="1" t="s">
        <v>204</v>
      </c>
      <c r="B10" s="1" t="s">
        <v>203</v>
      </c>
      <c r="C10" s="52">
        <v>26245</v>
      </c>
      <c r="D10" s="52">
        <v>3295</v>
      </c>
      <c r="E10" s="52">
        <v>1717</v>
      </c>
      <c r="F10" s="52">
        <v>577</v>
      </c>
      <c r="G10" s="55">
        <f>F10/E10</f>
        <v>0.33605125218404192</v>
      </c>
    </row>
    <row r="11" spans="1:7" x14ac:dyDescent="0.2">
      <c r="A11" s="1" t="s">
        <v>205</v>
      </c>
      <c r="B11" s="1" t="s">
        <v>206</v>
      </c>
      <c r="C11" s="52">
        <v>13629</v>
      </c>
      <c r="D11" s="52">
        <v>2163</v>
      </c>
      <c r="E11" s="52">
        <v>1066</v>
      </c>
      <c r="F11" s="52">
        <v>518</v>
      </c>
      <c r="G11" s="55">
        <f>F11/E11</f>
        <v>0.48592870544090055</v>
      </c>
    </row>
    <row r="12" spans="1:7" x14ac:dyDescent="0.2">
      <c r="A12" s="27" t="s">
        <v>200</v>
      </c>
      <c r="B12" s="27" t="s">
        <v>202</v>
      </c>
      <c r="C12" s="53">
        <f>C11/(C10+C11)</f>
        <v>0.34180167527712296</v>
      </c>
      <c r="D12" s="53">
        <f>D11/(D10+D11)</f>
        <v>0.39629901062660317</v>
      </c>
      <c r="E12" s="53">
        <f>E11/(E10+E11)</f>
        <v>0.38303988501616959</v>
      </c>
      <c r="F12" s="53">
        <f>F11/(F10+F11)</f>
        <v>0.47305936073059363</v>
      </c>
      <c r="G12" s="4" t="s">
        <v>19</v>
      </c>
    </row>
    <row r="13" spans="1:7" x14ac:dyDescent="0.2">
      <c r="A13" s="2" t="s">
        <v>209</v>
      </c>
      <c r="B13" s="2"/>
    </row>
    <row r="14" spans="1:7" x14ac:dyDescent="0.2">
      <c r="A14" s="2" t="s">
        <v>210</v>
      </c>
      <c r="B14" s="2"/>
    </row>
    <row r="15" spans="1:7" x14ac:dyDescent="0.2">
      <c r="A15" s="2" t="s">
        <v>34</v>
      </c>
      <c r="B15" s="2"/>
    </row>
    <row r="16" spans="1:7" x14ac:dyDescent="0.2">
      <c r="A16" s="2" t="s">
        <v>82</v>
      </c>
      <c r="B16" s="2"/>
    </row>
  </sheetData>
  <pageMargins left="0.39370078740157483" right="0.27559055118110237" top="0.98425196850393704" bottom="0.98425196850393704" header="0" footer="0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14" width="9.7109375" style="1" customWidth="1"/>
    <col min="15" max="16" width="7.42578125" style="1" customWidth="1"/>
    <col min="17" max="18" width="9" style="1" customWidth="1"/>
    <col min="19" max="20" width="8.7109375" style="1" customWidth="1"/>
    <col min="21" max="22" width="7.85546875" style="1" customWidth="1"/>
    <col min="23" max="24" width="9.140625" style="1" customWidth="1"/>
    <col min="25" max="25" width="8.5703125" style="1" customWidth="1"/>
    <col min="26" max="26" width="8" style="1" customWidth="1"/>
    <col min="27" max="16384" width="11.42578125" style="1"/>
  </cols>
  <sheetData>
    <row r="1" spans="1:14" x14ac:dyDescent="0.2">
      <c r="A1" s="6" t="s">
        <v>90</v>
      </c>
      <c r="B1" s="6"/>
    </row>
    <row r="2" spans="1:14" x14ac:dyDescent="0.2">
      <c r="A2" s="25" t="s">
        <v>91</v>
      </c>
      <c r="B2" s="25"/>
    </row>
    <row r="4" spans="1:14" ht="19.5" customHeight="1" x14ac:dyDescent="0.2">
      <c r="A4" s="8"/>
      <c r="B4" s="8"/>
      <c r="C4" s="108" t="s">
        <v>2</v>
      </c>
      <c r="D4" s="108"/>
      <c r="E4" s="111"/>
      <c r="F4" s="108"/>
      <c r="G4" s="108"/>
      <c r="H4" s="109"/>
      <c r="I4" s="108" t="s">
        <v>188</v>
      </c>
      <c r="J4" s="112"/>
      <c r="K4" s="112"/>
      <c r="L4" s="112"/>
      <c r="M4" s="112"/>
      <c r="N4" s="112"/>
    </row>
    <row r="5" spans="1:14" ht="19.5" customHeight="1" x14ac:dyDescent="0.2">
      <c r="A5" s="8"/>
      <c r="B5" s="8"/>
      <c r="C5" s="108" t="s">
        <v>187</v>
      </c>
      <c r="D5" s="108"/>
      <c r="E5" s="111"/>
      <c r="F5" s="108"/>
      <c r="G5" s="108"/>
      <c r="H5" s="109"/>
      <c r="I5" s="108" t="s">
        <v>189</v>
      </c>
      <c r="J5" s="112"/>
      <c r="K5" s="112"/>
      <c r="L5" s="112"/>
      <c r="M5" s="112"/>
      <c r="N5" s="112"/>
    </row>
    <row r="6" spans="1:14" ht="19.5" customHeight="1" x14ac:dyDescent="0.2">
      <c r="A6" s="9"/>
      <c r="B6" s="9"/>
      <c r="C6" s="63" t="s">
        <v>6</v>
      </c>
      <c r="D6" s="63"/>
      <c r="E6" s="63" t="s">
        <v>7</v>
      </c>
      <c r="F6" s="63"/>
      <c r="G6" s="63" t="s">
        <v>10</v>
      </c>
      <c r="H6" s="64"/>
      <c r="I6" s="63" t="s">
        <v>6</v>
      </c>
      <c r="J6" s="63"/>
      <c r="K6" s="63" t="s">
        <v>7</v>
      </c>
      <c r="L6" s="63"/>
      <c r="M6" s="63" t="s">
        <v>10</v>
      </c>
      <c r="N6" s="63"/>
    </row>
    <row r="7" spans="1:14" ht="19.5" customHeight="1" x14ac:dyDescent="0.2">
      <c r="A7" s="9"/>
      <c r="B7" s="9"/>
      <c r="C7" s="63" t="s">
        <v>6</v>
      </c>
      <c r="D7" s="63" t="s">
        <v>11</v>
      </c>
      <c r="E7" s="63" t="s">
        <v>211</v>
      </c>
      <c r="F7" s="63" t="s">
        <v>11</v>
      </c>
      <c r="G7" s="63" t="s">
        <v>212</v>
      </c>
      <c r="H7" s="64" t="s">
        <v>11</v>
      </c>
      <c r="I7" s="63" t="s">
        <v>6</v>
      </c>
      <c r="J7" s="63" t="s">
        <v>11</v>
      </c>
      <c r="K7" s="63" t="s">
        <v>211</v>
      </c>
      <c r="L7" s="63" t="s">
        <v>11</v>
      </c>
      <c r="M7" s="63" t="s">
        <v>212</v>
      </c>
      <c r="N7" s="63" t="s">
        <v>11</v>
      </c>
    </row>
    <row r="8" spans="1:14" x14ac:dyDescent="0.2">
      <c r="A8" s="31" t="s">
        <v>6</v>
      </c>
      <c r="B8" s="31" t="s">
        <v>6</v>
      </c>
      <c r="C8" s="50">
        <f>21043+174</f>
        <v>21217</v>
      </c>
      <c r="D8" s="65">
        <v>1</v>
      </c>
      <c r="E8" s="50">
        <v>21043</v>
      </c>
      <c r="F8" s="65">
        <v>1</v>
      </c>
      <c r="G8" s="50">
        <v>174</v>
      </c>
      <c r="H8" s="65">
        <v>1</v>
      </c>
      <c r="I8" s="50">
        <v>3207</v>
      </c>
      <c r="J8" s="65">
        <v>1</v>
      </c>
      <c r="K8" s="50">
        <v>3172</v>
      </c>
      <c r="L8" s="65">
        <v>1</v>
      </c>
      <c r="M8" s="50">
        <v>35</v>
      </c>
      <c r="N8" s="65">
        <v>1</v>
      </c>
    </row>
    <row r="9" spans="1:14" x14ac:dyDescent="0.2">
      <c r="A9" s="27" t="s">
        <v>20</v>
      </c>
      <c r="B9" s="27" t="s">
        <v>214</v>
      </c>
      <c r="C9" s="54">
        <f>13115+5109</f>
        <v>18224</v>
      </c>
      <c r="D9" s="55">
        <f>C9/C8</f>
        <v>0.85893387378045905</v>
      </c>
      <c r="E9" s="66">
        <f>13010+5081</f>
        <v>18091</v>
      </c>
      <c r="F9" s="55">
        <f>E9/E8</f>
        <v>0.85971581998764435</v>
      </c>
      <c r="G9" s="66">
        <f>105+28</f>
        <v>133</v>
      </c>
      <c r="H9" s="55">
        <f>G9/G8</f>
        <v>0.76436781609195403</v>
      </c>
      <c r="I9" s="66">
        <v>2758</v>
      </c>
      <c r="J9" s="55">
        <f>I9/I8</f>
        <v>0.85999376364203306</v>
      </c>
      <c r="K9" s="66">
        <v>1822</v>
      </c>
      <c r="L9" s="55">
        <f>K9/K8</f>
        <v>0.57440100882723832</v>
      </c>
      <c r="M9" s="66">
        <v>24</v>
      </c>
      <c r="N9" s="55">
        <f>M9/M8</f>
        <v>0.68571428571428572</v>
      </c>
    </row>
    <row r="10" spans="1:14" x14ac:dyDescent="0.2">
      <c r="A10" s="27" t="s">
        <v>21</v>
      </c>
      <c r="B10" s="27" t="s">
        <v>213</v>
      </c>
      <c r="C10" s="54">
        <f>2478+515</f>
        <v>2993</v>
      </c>
      <c r="D10" s="55">
        <f>C10/C8</f>
        <v>0.14106612621954093</v>
      </c>
      <c r="E10" s="66">
        <f>2441+511</f>
        <v>2952</v>
      </c>
      <c r="F10" s="55">
        <f>E10/E8</f>
        <v>0.14028418001235565</v>
      </c>
      <c r="G10" s="66">
        <f>37+4</f>
        <v>41</v>
      </c>
      <c r="H10" s="55">
        <f>G10/G8</f>
        <v>0.23563218390804597</v>
      </c>
      <c r="I10" s="66">
        <v>449</v>
      </c>
      <c r="J10" s="55">
        <f>I10/I8</f>
        <v>0.14000623635796694</v>
      </c>
      <c r="K10" s="66">
        <v>438</v>
      </c>
      <c r="L10" s="55">
        <f>K10/K8</f>
        <v>0.13808322824716268</v>
      </c>
      <c r="M10" s="66">
        <v>11</v>
      </c>
      <c r="N10" s="55">
        <f>M10/M8</f>
        <v>0.31428571428571428</v>
      </c>
    </row>
    <row r="11" spans="1:14" x14ac:dyDescent="0.2">
      <c r="A11" s="32" t="s">
        <v>35</v>
      </c>
      <c r="B11" s="32" t="s">
        <v>215</v>
      </c>
      <c r="C11" s="61">
        <f>13115+2478</f>
        <v>15593</v>
      </c>
      <c r="D11" s="65">
        <v>1</v>
      </c>
      <c r="E11" s="61">
        <f>13010+2441</f>
        <v>15451</v>
      </c>
      <c r="F11" s="65">
        <v>1</v>
      </c>
      <c r="G11" s="61">
        <f>105+37</f>
        <v>142</v>
      </c>
      <c r="H11" s="65">
        <v>1</v>
      </c>
      <c r="I11" s="61">
        <v>2211</v>
      </c>
      <c r="J11" s="58">
        <v>1</v>
      </c>
      <c r="K11" s="61">
        <v>2183</v>
      </c>
      <c r="L11" s="65">
        <v>1</v>
      </c>
      <c r="M11" s="61">
        <v>28</v>
      </c>
      <c r="N11" s="65">
        <v>1</v>
      </c>
    </row>
    <row r="12" spans="1:14" s="5" customFormat="1" ht="12.75" customHeight="1" x14ac:dyDescent="0.2">
      <c r="A12" s="27" t="s">
        <v>20</v>
      </c>
      <c r="B12" s="27" t="s">
        <v>214</v>
      </c>
      <c r="C12" s="54">
        <v>13115</v>
      </c>
      <c r="D12" s="55">
        <f>C12/C11</f>
        <v>0.84108253703584945</v>
      </c>
      <c r="E12" s="54">
        <v>13010</v>
      </c>
      <c r="F12" s="55">
        <f>E12/E11</f>
        <v>0.84201669794835288</v>
      </c>
      <c r="G12" s="54">
        <v>105</v>
      </c>
      <c r="H12" s="55">
        <f>G12/G11</f>
        <v>0.73943661971830987</v>
      </c>
      <c r="I12" s="54">
        <v>1841</v>
      </c>
      <c r="J12" s="55">
        <f>I12/I11</f>
        <v>0.83265490728177294</v>
      </c>
      <c r="K12" s="54">
        <v>1822</v>
      </c>
      <c r="L12" s="55">
        <f>K12/K11</f>
        <v>0.83463124141090239</v>
      </c>
      <c r="M12" s="54">
        <v>19</v>
      </c>
      <c r="N12" s="55">
        <f>M12/M11</f>
        <v>0.6785714285714286</v>
      </c>
    </row>
    <row r="13" spans="1:14" x14ac:dyDescent="0.2">
      <c r="A13" s="27" t="s">
        <v>21</v>
      </c>
      <c r="B13" s="27" t="s">
        <v>213</v>
      </c>
      <c r="C13" s="54">
        <v>2478</v>
      </c>
      <c r="D13" s="55">
        <f>C13/C11</f>
        <v>0.15891746296415057</v>
      </c>
      <c r="E13" s="54">
        <v>2441</v>
      </c>
      <c r="F13" s="55">
        <f>E13/E11</f>
        <v>0.15798330205164715</v>
      </c>
      <c r="G13" s="54">
        <v>37</v>
      </c>
      <c r="H13" s="55">
        <f>G13/G11</f>
        <v>0.26056338028169013</v>
      </c>
      <c r="I13" s="54">
        <v>370</v>
      </c>
      <c r="J13" s="55">
        <f>I13/I11</f>
        <v>0.16734509271822703</v>
      </c>
      <c r="K13" s="54">
        <v>361</v>
      </c>
      <c r="L13" s="55">
        <f>K13/K11</f>
        <v>0.16536875858909758</v>
      </c>
      <c r="M13" s="54">
        <v>9</v>
      </c>
      <c r="N13" s="55">
        <f>M13/M11</f>
        <v>0.32142857142857145</v>
      </c>
    </row>
    <row r="14" spans="1:14" x14ac:dyDescent="0.2">
      <c r="A14" s="32" t="s">
        <v>36</v>
      </c>
      <c r="B14" s="32" t="s">
        <v>216</v>
      </c>
      <c r="C14" s="61">
        <f>5109+515</f>
        <v>5624</v>
      </c>
      <c r="D14" s="65">
        <v>1</v>
      </c>
      <c r="E14" s="61">
        <f>5081+511</f>
        <v>5592</v>
      </c>
      <c r="F14" s="65">
        <v>1</v>
      </c>
      <c r="G14" s="61">
        <f>28+4</f>
        <v>32</v>
      </c>
      <c r="H14" s="65">
        <v>1</v>
      </c>
      <c r="I14" s="61">
        <v>996</v>
      </c>
      <c r="J14" s="58">
        <v>1</v>
      </c>
      <c r="K14" s="61">
        <v>989</v>
      </c>
      <c r="L14" s="65">
        <v>1</v>
      </c>
      <c r="M14" s="61">
        <v>7</v>
      </c>
      <c r="N14" s="65">
        <v>1</v>
      </c>
    </row>
    <row r="15" spans="1:14" x14ac:dyDescent="0.2">
      <c r="A15" s="27" t="s">
        <v>20</v>
      </c>
      <c r="B15" s="27" t="s">
        <v>214</v>
      </c>
      <c r="C15" s="54">
        <v>5109</v>
      </c>
      <c r="D15" s="55">
        <f>C15/C14</f>
        <v>0.90842816500711232</v>
      </c>
      <c r="E15" s="54">
        <v>5081</v>
      </c>
      <c r="F15" s="55">
        <f>E15/E14</f>
        <v>0.90861945636623753</v>
      </c>
      <c r="G15" s="54">
        <v>28</v>
      </c>
      <c r="H15" s="55">
        <f>G15/G14</f>
        <v>0.875</v>
      </c>
      <c r="I15" s="54">
        <v>917</v>
      </c>
      <c r="J15" s="55">
        <f>I15/I14</f>
        <v>0.92068273092369479</v>
      </c>
      <c r="K15" s="54">
        <v>912</v>
      </c>
      <c r="L15" s="55">
        <f>K15/K14</f>
        <v>0.92214357937310409</v>
      </c>
      <c r="M15" s="54">
        <v>5</v>
      </c>
      <c r="N15" s="55">
        <f>M15/M14</f>
        <v>0.7142857142857143</v>
      </c>
    </row>
    <row r="16" spans="1:14" s="5" customFormat="1" ht="12.75" customHeight="1" x14ac:dyDescent="0.2">
      <c r="A16" s="27" t="s">
        <v>21</v>
      </c>
      <c r="B16" s="27" t="s">
        <v>213</v>
      </c>
      <c r="C16" s="54">
        <v>515</v>
      </c>
      <c r="D16" s="55">
        <f>C16/C14</f>
        <v>9.1571834992887624E-2</v>
      </c>
      <c r="E16" s="54">
        <v>511</v>
      </c>
      <c r="F16" s="55">
        <f>E16/E14</f>
        <v>9.1380543633762523E-2</v>
      </c>
      <c r="G16" s="54">
        <v>4</v>
      </c>
      <c r="H16" s="55">
        <f>G16/G14</f>
        <v>0.125</v>
      </c>
      <c r="I16" s="54">
        <v>79</v>
      </c>
      <c r="J16" s="55">
        <f>I16/I14</f>
        <v>7.9317269076305222E-2</v>
      </c>
      <c r="K16" s="54">
        <v>77</v>
      </c>
      <c r="L16" s="55">
        <f>K16/K14</f>
        <v>7.785642062689585E-2</v>
      </c>
      <c r="M16" s="54">
        <v>2</v>
      </c>
      <c r="N16" s="55">
        <v>0</v>
      </c>
    </row>
    <row r="17" spans="1:26" x14ac:dyDescent="0.2">
      <c r="A17" s="32" t="s">
        <v>45</v>
      </c>
      <c r="B17" s="32" t="s">
        <v>217</v>
      </c>
      <c r="C17" s="110">
        <f>C14/C8</f>
        <v>0.26507046236508458</v>
      </c>
      <c r="D17" s="110" t="s">
        <v>19</v>
      </c>
      <c r="E17" s="110">
        <f>E14/E8</f>
        <v>0.26574157677137289</v>
      </c>
      <c r="F17" s="110" t="s">
        <v>19</v>
      </c>
      <c r="G17" s="110">
        <f>G14/G8</f>
        <v>0.18390804597701149</v>
      </c>
      <c r="H17" s="110" t="s">
        <v>19</v>
      </c>
      <c r="I17" s="110">
        <f>I14/I8</f>
        <v>0.31057062675397568</v>
      </c>
      <c r="J17" s="110" t="s">
        <v>19</v>
      </c>
      <c r="K17" s="110">
        <f>K14/K8</f>
        <v>0.31179066834804542</v>
      </c>
      <c r="L17" s="110"/>
      <c r="M17" s="110">
        <f>M14/M8</f>
        <v>0.2</v>
      </c>
      <c r="N17" s="110"/>
    </row>
    <row r="18" spans="1:26" x14ac:dyDescent="0.2">
      <c r="A18" s="27" t="s">
        <v>20</v>
      </c>
      <c r="B18" s="27" t="s">
        <v>214</v>
      </c>
      <c r="C18" s="107">
        <f>C15/C9</f>
        <v>0.2803446005267779</v>
      </c>
      <c r="D18" s="107" t="s">
        <v>19</v>
      </c>
      <c r="E18" s="107">
        <f>E15/E9</f>
        <v>0.28085788513625559</v>
      </c>
      <c r="F18" s="107" t="s">
        <v>19</v>
      </c>
      <c r="G18" s="107">
        <f>G15/G9</f>
        <v>0.21052631578947367</v>
      </c>
      <c r="H18" s="107" t="s">
        <v>19</v>
      </c>
      <c r="I18" s="107">
        <f>I15/I9</f>
        <v>0.33248730964467005</v>
      </c>
      <c r="J18" s="107" t="s">
        <v>19</v>
      </c>
      <c r="K18" s="107">
        <f>K15/K9</f>
        <v>0.50054884742041716</v>
      </c>
      <c r="L18" s="107"/>
      <c r="M18" s="107">
        <f>M15/M9</f>
        <v>0.20833333333333334</v>
      </c>
      <c r="N18" s="107"/>
    </row>
    <row r="19" spans="1:26" x14ac:dyDescent="0.2">
      <c r="A19" s="27" t="s">
        <v>21</v>
      </c>
      <c r="B19" s="27" t="s">
        <v>213</v>
      </c>
      <c r="C19" s="107">
        <f>C16/C10</f>
        <v>0.17206815903775477</v>
      </c>
      <c r="D19" s="107" t="s">
        <v>19</v>
      </c>
      <c r="E19" s="107">
        <f>E16/E10</f>
        <v>0.17310298102981031</v>
      </c>
      <c r="F19" s="107" t="s">
        <v>19</v>
      </c>
      <c r="G19" s="107">
        <f>G16/G10</f>
        <v>9.7560975609756101E-2</v>
      </c>
      <c r="H19" s="107" t="s">
        <v>19</v>
      </c>
      <c r="I19" s="107">
        <f>I16/I10</f>
        <v>0.17594654788418709</v>
      </c>
      <c r="J19" s="107" t="s">
        <v>19</v>
      </c>
      <c r="K19" s="107">
        <f>K16/K10</f>
        <v>0.17579908675799086</v>
      </c>
      <c r="L19" s="107"/>
      <c r="M19" s="107">
        <f>M16/M10</f>
        <v>0.18181818181818182</v>
      </c>
      <c r="N19" s="107"/>
    </row>
    <row r="20" spans="1:26" x14ac:dyDescent="0.2">
      <c r="C20" s="40"/>
      <c r="D20" s="42"/>
      <c r="E20" s="40"/>
      <c r="F20" s="42"/>
      <c r="G20" s="40"/>
      <c r="H20" s="42"/>
      <c r="I20" s="40"/>
      <c r="J20" s="42"/>
      <c r="K20" s="40"/>
      <c r="L20" s="42"/>
      <c r="M20" s="40"/>
      <c r="N20" s="42"/>
      <c r="O20" s="19"/>
      <c r="P20" s="4"/>
      <c r="Q20" s="19"/>
      <c r="R20" s="4"/>
      <c r="S20" s="19"/>
      <c r="T20" s="4"/>
      <c r="U20" s="19"/>
      <c r="V20" s="4"/>
      <c r="W20" s="21"/>
      <c r="X20" s="4"/>
      <c r="Y20" s="19"/>
      <c r="Z20" s="4"/>
    </row>
    <row r="21" spans="1:26" ht="19.5" customHeight="1" x14ac:dyDescent="0.2">
      <c r="A21" s="8"/>
      <c r="B21" s="8"/>
      <c r="C21" s="108" t="s">
        <v>3</v>
      </c>
      <c r="D21" s="108"/>
      <c r="E21" s="108"/>
      <c r="F21" s="108"/>
      <c r="G21" s="108"/>
      <c r="H21" s="109"/>
      <c r="I21" s="108" t="s">
        <v>4</v>
      </c>
      <c r="J21" s="108"/>
      <c r="K21" s="108"/>
      <c r="L21" s="108"/>
      <c r="M21" s="108"/>
      <c r="N21" s="108"/>
    </row>
    <row r="22" spans="1:26" ht="19.5" customHeight="1" x14ac:dyDescent="0.2">
      <c r="A22" s="8"/>
      <c r="B22" s="8"/>
      <c r="C22" s="108" t="s">
        <v>3</v>
      </c>
      <c r="D22" s="108"/>
      <c r="E22" s="108"/>
      <c r="F22" s="108"/>
      <c r="G22" s="108"/>
      <c r="H22" s="109"/>
      <c r="I22" s="108" t="s">
        <v>4</v>
      </c>
      <c r="J22" s="108"/>
      <c r="K22" s="108"/>
      <c r="L22" s="108"/>
      <c r="M22" s="108"/>
      <c r="N22" s="108"/>
    </row>
    <row r="23" spans="1:26" ht="19.5" customHeight="1" x14ac:dyDescent="0.2">
      <c r="A23" s="8"/>
      <c r="B23" s="8"/>
      <c r="C23" s="63" t="s">
        <v>6</v>
      </c>
      <c r="D23" s="63"/>
      <c r="E23" s="63" t="s">
        <v>7</v>
      </c>
      <c r="F23" s="63"/>
      <c r="G23" s="63" t="s">
        <v>10</v>
      </c>
      <c r="H23" s="64"/>
      <c r="I23" s="63" t="s">
        <v>6</v>
      </c>
      <c r="J23" s="63"/>
      <c r="K23" s="63" t="s">
        <v>7</v>
      </c>
      <c r="L23" s="63"/>
      <c r="M23" s="63" t="s">
        <v>10</v>
      </c>
      <c r="N23" s="63"/>
    </row>
    <row r="24" spans="1:26" ht="19.5" customHeight="1" x14ac:dyDescent="0.2">
      <c r="A24" s="9"/>
      <c r="B24" s="9"/>
      <c r="C24" s="63" t="s">
        <v>6</v>
      </c>
      <c r="D24" s="63" t="s">
        <v>11</v>
      </c>
      <c r="E24" s="63" t="s">
        <v>211</v>
      </c>
      <c r="F24" s="63" t="s">
        <v>11</v>
      </c>
      <c r="G24" s="63" t="s">
        <v>212</v>
      </c>
      <c r="H24" s="64" t="s">
        <v>11</v>
      </c>
      <c r="I24" s="63" t="s">
        <v>6</v>
      </c>
      <c r="J24" s="63" t="s">
        <v>11</v>
      </c>
      <c r="K24" s="63" t="s">
        <v>211</v>
      </c>
      <c r="L24" s="63" t="s">
        <v>11</v>
      </c>
      <c r="M24" s="63" t="s">
        <v>212</v>
      </c>
      <c r="N24" s="63" t="s">
        <v>11</v>
      </c>
    </row>
    <row r="25" spans="1:26" x14ac:dyDescent="0.2">
      <c r="A25" s="31" t="s">
        <v>6</v>
      </c>
      <c r="B25" s="31" t="s">
        <v>6</v>
      </c>
      <c r="C25" s="50">
        <v>1645</v>
      </c>
      <c r="D25" s="65">
        <v>1</v>
      </c>
      <c r="E25" s="50">
        <v>1634</v>
      </c>
      <c r="F25" s="65">
        <v>1</v>
      </c>
      <c r="G25" s="50">
        <v>11</v>
      </c>
      <c r="H25" s="65">
        <v>1</v>
      </c>
      <c r="I25" s="50">
        <v>397</v>
      </c>
      <c r="J25" s="65">
        <v>1</v>
      </c>
      <c r="K25" s="50">
        <v>397</v>
      </c>
      <c r="L25" s="65">
        <v>1</v>
      </c>
      <c r="M25" s="50">
        <v>0</v>
      </c>
      <c r="N25" s="58" t="s">
        <v>19</v>
      </c>
    </row>
    <row r="26" spans="1:26" x14ac:dyDescent="0.2">
      <c r="A26" s="27" t="s">
        <v>20</v>
      </c>
      <c r="B26" s="27" t="s">
        <v>214</v>
      </c>
      <c r="C26" s="66">
        <v>1357</v>
      </c>
      <c r="D26" s="55">
        <f>C26/C25</f>
        <v>0.82492401215805466</v>
      </c>
      <c r="E26" s="66">
        <v>1347</v>
      </c>
      <c r="F26" s="55">
        <f>E26/E25</f>
        <v>0.82435740514075884</v>
      </c>
      <c r="G26" s="66">
        <v>10</v>
      </c>
      <c r="H26" s="55">
        <f>G26/G25</f>
        <v>0.90909090909090906</v>
      </c>
      <c r="I26" s="66">
        <v>300</v>
      </c>
      <c r="J26" s="55">
        <f>I26/I25</f>
        <v>0.75566750629722923</v>
      </c>
      <c r="K26" s="66">
        <v>300</v>
      </c>
      <c r="L26" s="55">
        <f>K26/K25</f>
        <v>0.75566750629722923</v>
      </c>
      <c r="M26" s="66">
        <v>0</v>
      </c>
      <c r="N26" s="55" t="s">
        <v>19</v>
      </c>
    </row>
    <row r="27" spans="1:26" x14ac:dyDescent="0.2">
      <c r="A27" s="27" t="s">
        <v>21</v>
      </c>
      <c r="B27" s="27" t="s">
        <v>213</v>
      </c>
      <c r="C27" s="66">
        <v>288</v>
      </c>
      <c r="D27" s="55">
        <f>C27/C25</f>
        <v>0.17507598784194528</v>
      </c>
      <c r="E27" s="66">
        <v>287</v>
      </c>
      <c r="F27" s="55">
        <f>E27/E25</f>
        <v>0.17564259485924114</v>
      </c>
      <c r="G27" s="66">
        <v>1</v>
      </c>
      <c r="H27" s="55">
        <f>G27/G25</f>
        <v>9.0909090909090912E-2</v>
      </c>
      <c r="I27" s="66">
        <v>97</v>
      </c>
      <c r="J27" s="55">
        <f>I27/I25</f>
        <v>0.24433249370277077</v>
      </c>
      <c r="K27" s="66">
        <v>97</v>
      </c>
      <c r="L27" s="55">
        <f>K27/K25</f>
        <v>0.24433249370277077</v>
      </c>
      <c r="M27" s="66">
        <v>0</v>
      </c>
      <c r="N27" s="55" t="s">
        <v>19</v>
      </c>
    </row>
    <row r="28" spans="1:26" x14ac:dyDescent="0.2">
      <c r="A28" s="32" t="s">
        <v>35</v>
      </c>
      <c r="B28" s="32" t="s">
        <v>215</v>
      </c>
      <c r="C28" s="61">
        <v>1220</v>
      </c>
      <c r="D28" s="65">
        <v>1</v>
      </c>
      <c r="E28" s="61">
        <v>1211</v>
      </c>
      <c r="F28" s="65">
        <v>1</v>
      </c>
      <c r="G28" s="61">
        <v>9</v>
      </c>
      <c r="H28" s="65">
        <v>1</v>
      </c>
      <c r="I28" s="61">
        <v>251</v>
      </c>
      <c r="J28" s="58">
        <v>1</v>
      </c>
      <c r="K28" s="61">
        <v>251</v>
      </c>
      <c r="L28" s="65">
        <v>1</v>
      </c>
      <c r="M28" s="61">
        <v>0</v>
      </c>
      <c r="N28" s="58" t="s">
        <v>19</v>
      </c>
    </row>
    <row r="29" spans="1:26" ht="12.75" customHeight="1" x14ac:dyDescent="0.2">
      <c r="A29" s="27" t="s">
        <v>20</v>
      </c>
      <c r="B29" s="27" t="s">
        <v>214</v>
      </c>
      <c r="C29" s="54">
        <v>986</v>
      </c>
      <c r="D29" s="55">
        <f>C29/C28</f>
        <v>0.80819672131147546</v>
      </c>
      <c r="E29" s="54">
        <v>978</v>
      </c>
      <c r="F29" s="55">
        <f>E29/E28</f>
        <v>0.80759702725020643</v>
      </c>
      <c r="G29" s="54">
        <v>8</v>
      </c>
      <c r="H29" s="55">
        <v>0.83333333333333337</v>
      </c>
      <c r="I29" s="54">
        <v>183</v>
      </c>
      <c r="J29" s="55">
        <f>I29/I28</f>
        <v>0.72908366533864544</v>
      </c>
      <c r="K29" s="54">
        <v>183</v>
      </c>
      <c r="L29" s="55">
        <f>K29/K28</f>
        <v>0.72908366533864544</v>
      </c>
      <c r="M29" s="54">
        <v>0</v>
      </c>
      <c r="N29" s="55" t="s">
        <v>19</v>
      </c>
    </row>
    <row r="30" spans="1:26" x14ac:dyDescent="0.2">
      <c r="A30" s="27" t="s">
        <v>21</v>
      </c>
      <c r="B30" s="27" t="s">
        <v>213</v>
      </c>
      <c r="C30" s="54">
        <v>234</v>
      </c>
      <c r="D30" s="55">
        <f>C30/C28</f>
        <v>0.19180327868852459</v>
      </c>
      <c r="E30" s="54">
        <v>233</v>
      </c>
      <c r="F30" s="55">
        <f>E30/E28</f>
        <v>0.19240297274979357</v>
      </c>
      <c r="G30" s="54">
        <v>1</v>
      </c>
      <c r="H30" s="55">
        <v>0.16666666666666666</v>
      </c>
      <c r="I30" s="54">
        <v>68</v>
      </c>
      <c r="J30" s="55">
        <f>I30/I28</f>
        <v>0.27091633466135456</v>
      </c>
      <c r="K30" s="54">
        <v>68</v>
      </c>
      <c r="L30" s="55">
        <f>K30/K28</f>
        <v>0.27091633466135456</v>
      </c>
      <c r="M30" s="54">
        <v>0</v>
      </c>
      <c r="N30" s="55" t="s">
        <v>19</v>
      </c>
    </row>
    <row r="31" spans="1:26" x14ac:dyDescent="0.2">
      <c r="A31" s="32" t="s">
        <v>36</v>
      </c>
      <c r="B31" s="32" t="s">
        <v>216</v>
      </c>
      <c r="C31" s="61">
        <v>425</v>
      </c>
      <c r="D31" s="65">
        <v>1</v>
      </c>
      <c r="E31" s="61">
        <v>423</v>
      </c>
      <c r="F31" s="65">
        <v>1</v>
      </c>
      <c r="G31" s="61">
        <v>2</v>
      </c>
      <c r="H31" s="65" t="s">
        <v>19</v>
      </c>
      <c r="I31" s="61">
        <v>146</v>
      </c>
      <c r="J31" s="58">
        <v>1</v>
      </c>
      <c r="K31" s="61">
        <v>146</v>
      </c>
      <c r="L31" s="65">
        <v>1</v>
      </c>
      <c r="M31" s="61">
        <v>0</v>
      </c>
      <c r="N31" s="58" t="s">
        <v>19</v>
      </c>
    </row>
    <row r="32" spans="1:26" x14ac:dyDescent="0.2">
      <c r="A32" s="27" t="s">
        <v>20</v>
      </c>
      <c r="B32" s="27" t="s">
        <v>214</v>
      </c>
      <c r="C32" s="54">
        <v>371</v>
      </c>
      <c r="D32" s="55">
        <f>C32/C31</f>
        <v>0.87294117647058822</v>
      </c>
      <c r="E32" s="54">
        <v>369</v>
      </c>
      <c r="F32" s="55">
        <f>E32/E31</f>
        <v>0.87234042553191493</v>
      </c>
      <c r="G32" s="54">
        <v>2</v>
      </c>
      <c r="H32" s="55" t="s">
        <v>19</v>
      </c>
      <c r="I32" s="54">
        <v>117</v>
      </c>
      <c r="J32" s="55">
        <f>I32/I31</f>
        <v>0.80136986301369861</v>
      </c>
      <c r="K32" s="54">
        <v>117</v>
      </c>
      <c r="L32" s="55">
        <f>K32/K31</f>
        <v>0.80136986301369861</v>
      </c>
      <c r="M32" s="54">
        <v>0</v>
      </c>
      <c r="N32" s="55" t="s">
        <v>19</v>
      </c>
    </row>
    <row r="33" spans="1:14" ht="12.75" customHeight="1" x14ac:dyDescent="0.2">
      <c r="A33" s="27" t="s">
        <v>21</v>
      </c>
      <c r="B33" s="27" t="s">
        <v>213</v>
      </c>
      <c r="C33" s="54">
        <v>54</v>
      </c>
      <c r="D33" s="55">
        <f>C33/C31</f>
        <v>0.12705882352941175</v>
      </c>
      <c r="E33" s="54">
        <v>54</v>
      </c>
      <c r="F33" s="55">
        <f>E33/E31</f>
        <v>0.1276595744680851</v>
      </c>
      <c r="G33" s="54">
        <v>0</v>
      </c>
      <c r="H33" s="55" t="s">
        <v>19</v>
      </c>
      <c r="I33" s="54">
        <v>29</v>
      </c>
      <c r="J33" s="55">
        <f>I33/I31</f>
        <v>0.19863013698630136</v>
      </c>
      <c r="K33" s="54">
        <v>29</v>
      </c>
      <c r="L33" s="55">
        <f>K33/K31</f>
        <v>0.19863013698630136</v>
      </c>
      <c r="M33" s="54">
        <v>0</v>
      </c>
      <c r="N33" s="55" t="s">
        <v>19</v>
      </c>
    </row>
    <row r="34" spans="1:14" x14ac:dyDescent="0.2">
      <c r="A34" s="32" t="s">
        <v>45</v>
      </c>
      <c r="B34" s="32" t="s">
        <v>217</v>
      </c>
      <c r="C34" s="110">
        <f>C31/C25</f>
        <v>0.25835866261398177</v>
      </c>
      <c r="D34" s="110" t="s">
        <v>19</v>
      </c>
      <c r="E34" s="110">
        <f>E31/E25</f>
        <v>0.25887392900856793</v>
      </c>
      <c r="F34" s="110" t="s">
        <v>19</v>
      </c>
      <c r="G34" s="110">
        <f>G31/G25</f>
        <v>0.18181818181818182</v>
      </c>
      <c r="H34" s="110" t="s">
        <v>19</v>
      </c>
      <c r="I34" s="110">
        <f>I31/I25</f>
        <v>0.36775818639798491</v>
      </c>
      <c r="J34" s="110" t="s">
        <v>19</v>
      </c>
      <c r="K34" s="110">
        <f>K31/K25</f>
        <v>0.36775818639798491</v>
      </c>
      <c r="L34" s="110" t="s">
        <v>19</v>
      </c>
      <c r="M34" s="110" t="s">
        <v>19</v>
      </c>
      <c r="N34" s="110" t="s">
        <v>19</v>
      </c>
    </row>
    <row r="35" spans="1:14" x14ac:dyDescent="0.2">
      <c r="A35" s="27" t="s">
        <v>20</v>
      </c>
      <c r="B35" s="27" t="s">
        <v>214</v>
      </c>
      <c r="C35" s="107">
        <f t="shared" ref="C35:E36" si="0">C32/C26</f>
        <v>0.27339719970523213</v>
      </c>
      <c r="D35" s="107" t="s">
        <v>19</v>
      </c>
      <c r="E35" s="107">
        <f t="shared" si="0"/>
        <v>0.27394209354120269</v>
      </c>
      <c r="F35" s="107" t="s">
        <v>19</v>
      </c>
      <c r="G35" s="107" t="s">
        <v>19</v>
      </c>
      <c r="H35" s="107" t="s">
        <v>19</v>
      </c>
      <c r="I35" s="107">
        <f>I32/I26</f>
        <v>0.39</v>
      </c>
      <c r="J35" s="107" t="s">
        <v>19</v>
      </c>
      <c r="K35" s="107">
        <f>K32/K26</f>
        <v>0.39</v>
      </c>
      <c r="L35" s="107" t="s">
        <v>19</v>
      </c>
      <c r="M35" s="107" t="s">
        <v>19</v>
      </c>
      <c r="N35" s="107" t="s">
        <v>19</v>
      </c>
    </row>
    <row r="36" spans="1:14" x14ac:dyDescent="0.2">
      <c r="A36" s="27" t="s">
        <v>21</v>
      </c>
      <c r="B36" s="27" t="s">
        <v>213</v>
      </c>
      <c r="C36" s="107">
        <f t="shared" si="0"/>
        <v>0.1875</v>
      </c>
      <c r="D36" s="107" t="s">
        <v>19</v>
      </c>
      <c r="E36" s="107">
        <f t="shared" si="0"/>
        <v>0.18815331010452963</v>
      </c>
      <c r="F36" s="107" t="s">
        <v>19</v>
      </c>
      <c r="G36" s="107">
        <f>G33/G27</f>
        <v>0</v>
      </c>
      <c r="H36" s="107" t="s">
        <v>19</v>
      </c>
      <c r="I36" s="107">
        <f>I33/I27</f>
        <v>0.29896907216494845</v>
      </c>
      <c r="J36" s="107" t="s">
        <v>19</v>
      </c>
      <c r="K36" s="107">
        <f>K33/K27</f>
        <v>0.29896907216494845</v>
      </c>
      <c r="L36" s="107" t="s">
        <v>19</v>
      </c>
      <c r="M36" s="107" t="s">
        <v>19</v>
      </c>
      <c r="N36" s="107" t="s">
        <v>19</v>
      </c>
    </row>
    <row r="37" spans="1:14" x14ac:dyDescent="0.2">
      <c r="A37" s="2" t="s">
        <v>209</v>
      </c>
      <c r="B37" s="2"/>
    </row>
    <row r="38" spans="1:14" x14ac:dyDescent="0.2">
      <c r="A38" s="2" t="s">
        <v>210</v>
      </c>
      <c r="B38" s="2"/>
    </row>
    <row r="39" spans="1:14" x14ac:dyDescent="0.2">
      <c r="A39" s="2" t="s">
        <v>34</v>
      </c>
      <c r="B39" s="2"/>
    </row>
    <row r="40" spans="1:14" x14ac:dyDescent="0.2">
      <c r="A40" s="2" t="s">
        <v>82</v>
      </c>
      <c r="B40" s="2"/>
    </row>
  </sheetData>
  <mergeCells count="44">
    <mergeCell ref="C4:H4"/>
    <mergeCell ref="I4:N4"/>
    <mergeCell ref="C17:D17"/>
    <mergeCell ref="E17:F17"/>
    <mergeCell ref="G17:H17"/>
    <mergeCell ref="I17:J17"/>
    <mergeCell ref="K17:L17"/>
    <mergeCell ref="M17:N17"/>
    <mergeCell ref="C5:H5"/>
    <mergeCell ref="I5:N5"/>
    <mergeCell ref="C18:D18"/>
    <mergeCell ref="E18:F18"/>
    <mergeCell ref="G18:H18"/>
    <mergeCell ref="I18:J18"/>
    <mergeCell ref="K18:L18"/>
    <mergeCell ref="M18:N18"/>
    <mergeCell ref="C19:D19"/>
    <mergeCell ref="E19:F19"/>
    <mergeCell ref="G19:H19"/>
    <mergeCell ref="I19:J19"/>
    <mergeCell ref="K19:L19"/>
    <mergeCell ref="M19:N19"/>
    <mergeCell ref="C21:H21"/>
    <mergeCell ref="I21:N21"/>
    <mergeCell ref="C34:D34"/>
    <mergeCell ref="E34:F34"/>
    <mergeCell ref="G34:H34"/>
    <mergeCell ref="I34:J34"/>
    <mergeCell ref="K34:L34"/>
    <mergeCell ref="M34:N34"/>
    <mergeCell ref="C22:H22"/>
    <mergeCell ref="I22:N22"/>
    <mergeCell ref="C35:D35"/>
    <mergeCell ref="E35:F35"/>
    <mergeCell ref="G35:H35"/>
    <mergeCell ref="I35:J35"/>
    <mergeCell ref="K35:L35"/>
    <mergeCell ref="M35:N35"/>
    <mergeCell ref="C36:D36"/>
    <mergeCell ref="E36:F36"/>
    <mergeCell ref="G36:H36"/>
    <mergeCell ref="I36:J36"/>
    <mergeCell ref="K36:L36"/>
    <mergeCell ref="M36:N36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Z40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14" width="9.7109375" style="1" customWidth="1"/>
    <col min="15" max="16" width="7.42578125" style="1" customWidth="1"/>
    <col min="17" max="18" width="9" style="1" customWidth="1"/>
    <col min="19" max="20" width="8.7109375" style="1" customWidth="1"/>
    <col min="21" max="22" width="7.85546875" style="1" customWidth="1"/>
    <col min="23" max="24" width="9.140625" style="1" customWidth="1"/>
    <col min="25" max="25" width="8.5703125" style="1" customWidth="1"/>
    <col min="26" max="26" width="8" style="1" customWidth="1"/>
    <col min="27" max="16384" width="11.42578125" style="1"/>
  </cols>
  <sheetData>
    <row r="1" spans="1:14" x14ac:dyDescent="0.2">
      <c r="A1" s="6" t="s">
        <v>125</v>
      </c>
      <c r="B1" s="6"/>
    </row>
    <row r="2" spans="1:14" x14ac:dyDescent="0.2">
      <c r="A2" s="25" t="s">
        <v>126</v>
      </c>
      <c r="B2" s="25"/>
    </row>
    <row r="4" spans="1:14" ht="19.5" customHeight="1" x14ac:dyDescent="0.2">
      <c r="A4" s="8"/>
      <c r="B4" s="8"/>
      <c r="C4" s="108" t="s">
        <v>2</v>
      </c>
      <c r="D4" s="108"/>
      <c r="E4" s="111"/>
      <c r="F4" s="108"/>
      <c r="G4" s="108"/>
      <c r="H4" s="109"/>
      <c r="I4" s="108" t="s">
        <v>188</v>
      </c>
      <c r="J4" s="112"/>
      <c r="K4" s="112"/>
      <c r="L4" s="112"/>
      <c r="M4" s="112"/>
      <c r="N4" s="112"/>
    </row>
    <row r="5" spans="1:14" ht="19.5" customHeight="1" x14ac:dyDescent="0.2">
      <c r="A5" s="8"/>
      <c r="B5" s="8"/>
      <c r="C5" s="108" t="s">
        <v>187</v>
      </c>
      <c r="D5" s="108"/>
      <c r="E5" s="111"/>
      <c r="F5" s="108"/>
      <c r="G5" s="108"/>
      <c r="H5" s="109"/>
      <c r="I5" s="108" t="s">
        <v>189</v>
      </c>
      <c r="J5" s="112"/>
      <c r="K5" s="112"/>
      <c r="L5" s="112"/>
      <c r="M5" s="112"/>
      <c r="N5" s="112"/>
    </row>
    <row r="6" spans="1:14" ht="19.5" customHeight="1" x14ac:dyDescent="0.2">
      <c r="A6" s="8"/>
      <c r="B6" s="8"/>
      <c r="C6" s="63" t="s">
        <v>6</v>
      </c>
      <c r="D6" s="63"/>
      <c r="E6" s="63" t="s">
        <v>7</v>
      </c>
      <c r="F6" s="63"/>
      <c r="G6" s="63" t="s">
        <v>10</v>
      </c>
      <c r="H6" s="64"/>
      <c r="I6" s="63" t="s">
        <v>6</v>
      </c>
      <c r="J6" s="63"/>
      <c r="K6" s="63" t="s">
        <v>7</v>
      </c>
      <c r="L6" s="63"/>
      <c r="M6" s="63" t="s">
        <v>10</v>
      </c>
      <c r="N6" s="63"/>
    </row>
    <row r="7" spans="1:14" ht="19.5" customHeight="1" x14ac:dyDescent="0.2">
      <c r="A7" s="9"/>
      <c r="B7" s="9"/>
      <c r="C7" s="63" t="s">
        <v>6</v>
      </c>
      <c r="D7" s="63" t="s">
        <v>11</v>
      </c>
      <c r="E7" s="63" t="s">
        <v>211</v>
      </c>
      <c r="F7" s="63" t="s">
        <v>11</v>
      </c>
      <c r="G7" s="63" t="s">
        <v>212</v>
      </c>
      <c r="H7" s="64" t="s">
        <v>11</v>
      </c>
      <c r="I7" s="63" t="s">
        <v>6</v>
      </c>
      <c r="J7" s="63" t="s">
        <v>11</v>
      </c>
      <c r="K7" s="63" t="s">
        <v>211</v>
      </c>
      <c r="L7" s="63" t="s">
        <v>11</v>
      </c>
      <c r="M7" s="63" t="s">
        <v>212</v>
      </c>
      <c r="N7" s="63" t="s">
        <v>11</v>
      </c>
    </row>
    <row r="8" spans="1:14" x14ac:dyDescent="0.2">
      <c r="A8" s="31" t="s">
        <v>6</v>
      </c>
      <c r="B8" s="31" t="s">
        <v>6</v>
      </c>
      <c r="C8" s="48">
        <f>C9+C10</f>
        <v>21718</v>
      </c>
      <c r="D8" s="68">
        <v>1</v>
      </c>
      <c r="E8" s="48">
        <f>E9+E10</f>
        <v>21626</v>
      </c>
      <c r="F8" s="68">
        <v>1</v>
      </c>
      <c r="G8" s="48">
        <f>G9+G10</f>
        <v>92</v>
      </c>
      <c r="H8" s="68">
        <v>1</v>
      </c>
      <c r="I8" s="48">
        <f>I9+I10</f>
        <v>3754</v>
      </c>
      <c r="J8" s="68">
        <v>1</v>
      </c>
      <c r="K8" s="48">
        <f>K9+K10</f>
        <v>3724</v>
      </c>
      <c r="L8" s="68">
        <v>1</v>
      </c>
      <c r="M8" s="48">
        <f>M9+M10</f>
        <v>30</v>
      </c>
      <c r="N8" s="68">
        <v>1</v>
      </c>
    </row>
    <row r="9" spans="1:14" x14ac:dyDescent="0.2">
      <c r="A9" s="27" t="s">
        <v>20</v>
      </c>
      <c r="B9" s="27" t="s">
        <v>214</v>
      </c>
      <c r="C9" s="69">
        <f>13649+5390</f>
        <v>19039</v>
      </c>
      <c r="D9" s="53">
        <f>C9/C8</f>
        <v>0.87664610000920895</v>
      </c>
      <c r="E9" s="69">
        <f>13596+5374</f>
        <v>18970</v>
      </c>
      <c r="F9" s="53">
        <f>E9/E8</f>
        <v>0.87718487006381207</v>
      </c>
      <c r="G9" s="69">
        <f>53+16</f>
        <v>69</v>
      </c>
      <c r="H9" s="53">
        <f>G9/G8</f>
        <v>0.75</v>
      </c>
      <c r="I9" s="69">
        <v>2248</v>
      </c>
      <c r="J9" s="53">
        <f>I9/I8</f>
        <v>0.59882791688865211</v>
      </c>
      <c r="K9" s="69">
        <v>2242</v>
      </c>
      <c r="L9" s="53">
        <f>K9/K8</f>
        <v>0.60204081632653061</v>
      </c>
      <c r="M9" s="69">
        <v>6</v>
      </c>
      <c r="N9" s="53">
        <f>M9/M8</f>
        <v>0.2</v>
      </c>
    </row>
    <row r="10" spans="1:14" x14ac:dyDescent="0.2">
      <c r="A10" s="27" t="s">
        <v>21</v>
      </c>
      <c r="B10" s="27" t="s">
        <v>213</v>
      </c>
      <c r="C10" s="69">
        <f>2223+456</f>
        <v>2679</v>
      </c>
      <c r="D10" s="53">
        <f>C10/C8</f>
        <v>0.12335389999079105</v>
      </c>
      <c r="E10" s="69">
        <f>2204+452</f>
        <v>2656</v>
      </c>
      <c r="F10" s="53">
        <f>E10/E8</f>
        <v>0.12281512993618793</v>
      </c>
      <c r="G10" s="69">
        <f>19+4</f>
        <v>23</v>
      </c>
      <c r="H10" s="53">
        <f>G10/G8</f>
        <v>0.25</v>
      </c>
      <c r="I10" s="69">
        <v>1506</v>
      </c>
      <c r="J10" s="53">
        <f>I10/I8</f>
        <v>0.40117208311134789</v>
      </c>
      <c r="K10" s="69">
        <v>1482</v>
      </c>
      <c r="L10" s="53">
        <f>K10/K8</f>
        <v>0.39795918367346939</v>
      </c>
      <c r="M10" s="69">
        <v>24</v>
      </c>
      <c r="N10" s="53">
        <f>M10/M8</f>
        <v>0.8</v>
      </c>
    </row>
    <row r="11" spans="1:14" x14ac:dyDescent="0.2">
      <c r="A11" s="32" t="s">
        <v>35</v>
      </c>
      <c r="B11" s="32" t="s">
        <v>215</v>
      </c>
      <c r="C11" s="70">
        <f>C12+C13</f>
        <v>15819</v>
      </c>
      <c r="D11" s="68">
        <v>1</v>
      </c>
      <c r="E11" s="70">
        <f>E12+E13</f>
        <v>15800</v>
      </c>
      <c r="F11" s="68">
        <v>1</v>
      </c>
      <c r="G11" s="70">
        <f>G12+G13</f>
        <v>72</v>
      </c>
      <c r="H11" s="68">
        <v>1</v>
      </c>
      <c r="I11" s="70">
        <f>I12+I13</f>
        <v>2579</v>
      </c>
      <c r="J11" s="68">
        <v>1</v>
      </c>
      <c r="K11" s="70">
        <f>K12+K13</f>
        <v>2559</v>
      </c>
      <c r="L11" s="68">
        <v>1</v>
      </c>
      <c r="M11" s="70">
        <f>M12+M13</f>
        <v>20</v>
      </c>
      <c r="N11" s="68">
        <v>1</v>
      </c>
    </row>
    <row r="12" spans="1:14" s="5" customFormat="1" ht="12.75" customHeight="1" x14ac:dyDescent="0.2">
      <c r="A12" s="27" t="s">
        <v>20</v>
      </c>
      <c r="B12" s="27" t="s">
        <v>214</v>
      </c>
      <c r="C12" s="52">
        <v>13596</v>
      </c>
      <c r="D12" s="53">
        <f>C12/C11</f>
        <v>0.859472785890385</v>
      </c>
      <c r="E12" s="52">
        <v>13596</v>
      </c>
      <c r="F12" s="53">
        <f>E12/E11</f>
        <v>0.860506329113924</v>
      </c>
      <c r="G12" s="52">
        <v>53</v>
      </c>
      <c r="H12" s="53">
        <f>G12/G11</f>
        <v>0.73611111111111116</v>
      </c>
      <c r="I12" s="52">
        <v>1530</v>
      </c>
      <c r="J12" s="53">
        <f>I12/I11</f>
        <v>0.59325319891430783</v>
      </c>
      <c r="K12" s="52">
        <v>1527</v>
      </c>
      <c r="L12" s="53">
        <f>K12/K11</f>
        <v>0.59671746776084411</v>
      </c>
      <c r="M12" s="52">
        <v>3</v>
      </c>
      <c r="N12" s="53">
        <f>M12/M11</f>
        <v>0.15</v>
      </c>
    </row>
    <row r="13" spans="1:14" x14ac:dyDescent="0.2">
      <c r="A13" s="27" t="s">
        <v>21</v>
      </c>
      <c r="B13" s="27" t="s">
        <v>213</v>
      </c>
      <c r="C13" s="52">
        <v>2223</v>
      </c>
      <c r="D13" s="53">
        <f>C13/C11</f>
        <v>0.14052721410961502</v>
      </c>
      <c r="E13" s="52">
        <v>2204</v>
      </c>
      <c r="F13" s="53">
        <f>E13/E11</f>
        <v>0.13949367088607595</v>
      </c>
      <c r="G13" s="52">
        <v>19</v>
      </c>
      <c r="H13" s="53">
        <f>G13/G11</f>
        <v>0.2638888888888889</v>
      </c>
      <c r="I13" s="52">
        <v>1049</v>
      </c>
      <c r="J13" s="53">
        <f>I13/I11</f>
        <v>0.40674680108569211</v>
      </c>
      <c r="K13" s="52">
        <v>1032</v>
      </c>
      <c r="L13" s="53">
        <f>K13/K11</f>
        <v>0.40328253223915594</v>
      </c>
      <c r="M13" s="52">
        <v>17</v>
      </c>
      <c r="N13" s="53">
        <f>M13/M11</f>
        <v>0.85</v>
      </c>
    </row>
    <row r="14" spans="1:14" x14ac:dyDescent="0.2">
      <c r="A14" s="32" t="s">
        <v>36</v>
      </c>
      <c r="B14" s="32" t="s">
        <v>216</v>
      </c>
      <c r="C14" s="70">
        <f>C15+C16</f>
        <v>5846</v>
      </c>
      <c r="D14" s="68">
        <v>1</v>
      </c>
      <c r="E14" s="70">
        <f>E15+E16</f>
        <v>5826</v>
      </c>
      <c r="F14" s="68">
        <f>E14/C14</f>
        <v>0.99657885733835105</v>
      </c>
      <c r="G14" s="70">
        <f>G15+G16</f>
        <v>20</v>
      </c>
      <c r="H14" s="68">
        <f>G14/C14</f>
        <v>3.4211426616489907E-3</v>
      </c>
      <c r="I14" s="70">
        <f>I15+I16</f>
        <v>1175</v>
      </c>
      <c r="J14" s="68">
        <v>1</v>
      </c>
      <c r="K14" s="70">
        <f>K15+K16</f>
        <v>1165</v>
      </c>
      <c r="L14" s="68">
        <v>1</v>
      </c>
      <c r="M14" s="70">
        <f>M15+M16</f>
        <v>10</v>
      </c>
      <c r="N14" s="68">
        <v>1</v>
      </c>
    </row>
    <row r="15" spans="1:14" x14ac:dyDescent="0.2">
      <c r="A15" s="27" t="s">
        <v>20</v>
      </c>
      <c r="B15" s="27" t="s">
        <v>214</v>
      </c>
      <c r="C15" s="52">
        <v>5390</v>
      </c>
      <c r="D15" s="53">
        <f>C15/C14</f>
        <v>0.92199794731440299</v>
      </c>
      <c r="E15" s="52">
        <v>5374</v>
      </c>
      <c r="F15" s="53">
        <f>E15/E14</f>
        <v>0.92241675248884314</v>
      </c>
      <c r="G15" s="52">
        <v>16</v>
      </c>
      <c r="H15" s="53">
        <f>G15/G14</f>
        <v>0.8</v>
      </c>
      <c r="I15" s="52">
        <v>718</v>
      </c>
      <c r="J15" s="53">
        <f>I15/I14</f>
        <v>0.61106382978723406</v>
      </c>
      <c r="K15" s="52">
        <v>715</v>
      </c>
      <c r="L15" s="53">
        <f>K15/K14</f>
        <v>0.61373390557939911</v>
      </c>
      <c r="M15" s="52">
        <v>3</v>
      </c>
      <c r="N15" s="53">
        <f>M15/M14</f>
        <v>0.3</v>
      </c>
    </row>
    <row r="16" spans="1:14" s="5" customFormat="1" ht="12.75" customHeight="1" x14ac:dyDescent="0.2">
      <c r="A16" s="27" t="s">
        <v>21</v>
      </c>
      <c r="B16" s="27" t="s">
        <v>213</v>
      </c>
      <c r="C16" s="52">
        <v>456</v>
      </c>
      <c r="D16" s="53">
        <f>C16/C14</f>
        <v>7.8002052685596984E-2</v>
      </c>
      <c r="E16" s="52">
        <v>452</v>
      </c>
      <c r="F16" s="53">
        <f>E16/E14</f>
        <v>7.7583247511156889E-2</v>
      </c>
      <c r="G16" s="52">
        <v>4</v>
      </c>
      <c r="H16" s="53">
        <f>G16/G14</f>
        <v>0.2</v>
      </c>
      <c r="I16" s="52">
        <v>457</v>
      </c>
      <c r="J16" s="53">
        <f>I16/I14</f>
        <v>0.38893617021276594</v>
      </c>
      <c r="K16" s="52">
        <v>450</v>
      </c>
      <c r="L16" s="53">
        <f>K16/K14</f>
        <v>0.38626609442060084</v>
      </c>
      <c r="M16" s="52">
        <v>7</v>
      </c>
      <c r="N16" s="53">
        <f>M16/M14</f>
        <v>0.7</v>
      </c>
    </row>
    <row r="17" spans="1:26" x14ac:dyDescent="0.2">
      <c r="A17" s="32" t="s">
        <v>45</v>
      </c>
      <c r="B17" s="32" t="s">
        <v>217</v>
      </c>
      <c r="C17" s="113">
        <f>C14/C8</f>
        <v>0.26917764066672806</v>
      </c>
      <c r="D17" s="113"/>
      <c r="E17" s="113">
        <f>E14/E8</f>
        <v>0.26939794691574959</v>
      </c>
      <c r="F17" s="113" t="s">
        <v>19</v>
      </c>
      <c r="G17" s="113">
        <f>G14/G8</f>
        <v>0.21739130434782608</v>
      </c>
      <c r="H17" s="113" t="s">
        <v>19</v>
      </c>
      <c r="I17" s="113">
        <f>I14/I8</f>
        <v>0.31299946723494937</v>
      </c>
      <c r="J17" s="113" t="s">
        <v>19</v>
      </c>
      <c r="K17" s="113">
        <f>K14/K8</f>
        <v>0.31283566058002149</v>
      </c>
      <c r="L17" s="113" t="s">
        <v>19</v>
      </c>
      <c r="M17" s="113">
        <f>M14/M8</f>
        <v>0.33333333333333331</v>
      </c>
      <c r="N17" s="113" t="s">
        <v>19</v>
      </c>
    </row>
    <row r="18" spans="1:26" x14ac:dyDescent="0.2">
      <c r="A18" s="27" t="s">
        <v>20</v>
      </c>
      <c r="B18" s="27" t="s">
        <v>214</v>
      </c>
      <c r="C18" s="114">
        <f>C15/C9</f>
        <v>0.28310310415462997</v>
      </c>
      <c r="D18" s="114"/>
      <c r="E18" s="114">
        <f>E15/E9</f>
        <v>0.28328940432261468</v>
      </c>
      <c r="F18" s="114" t="s">
        <v>19</v>
      </c>
      <c r="G18" s="114">
        <f>G15/G9</f>
        <v>0.2318840579710145</v>
      </c>
      <c r="H18" s="114" t="s">
        <v>19</v>
      </c>
      <c r="I18" s="114">
        <f>I15/I9</f>
        <v>0.3193950177935943</v>
      </c>
      <c r="J18" s="114" t="s">
        <v>19</v>
      </c>
      <c r="K18" s="114">
        <f>K15/K9</f>
        <v>0.31891168599464764</v>
      </c>
      <c r="L18" s="114" t="s">
        <v>19</v>
      </c>
      <c r="M18" s="114">
        <f>M15/M9</f>
        <v>0.5</v>
      </c>
      <c r="N18" s="114" t="s">
        <v>19</v>
      </c>
    </row>
    <row r="19" spans="1:26" x14ac:dyDescent="0.2">
      <c r="A19" s="27" t="s">
        <v>21</v>
      </c>
      <c r="B19" s="27" t="s">
        <v>213</v>
      </c>
      <c r="C19" s="114">
        <f>C16/C10</f>
        <v>0.1702127659574468</v>
      </c>
      <c r="D19" s="114"/>
      <c r="E19" s="114">
        <f>E16/E10</f>
        <v>0.17018072289156627</v>
      </c>
      <c r="F19" s="114" t="s">
        <v>19</v>
      </c>
      <c r="G19" s="114">
        <f>G16/G10</f>
        <v>0.17391304347826086</v>
      </c>
      <c r="H19" s="114" t="s">
        <v>19</v>
      </c>
      <c r="I19" s="114">
        <f>I16/I10</f>
        <v>0.30345285524568394</v>
      </c>
      <c r="J19" s="114" t="s">
        <v>19</v>
      </c>
      <c r="K19" s="114">
        <f>K16/K10</f>
        <v>0.30364372469635625</v>
      </c>
      <c r="L19" s="114" t="s">
        <v>19</v>
      </c>
      <c r="M19" s="114">
        <f>M16/M10</f>
        <v>0.29166666666666669</v>
      </c>
      <c r="N19" s="114" t="s">
        <v>19</v>
      </c>
    </row>
    <row r="20" spans="1:26" x14ac:dyDescent="0.2">
      <c r="C20" s="62"/>
      <c r="D20" s="4"/>
      <c r="E20" s="62"/>
      <c r="F20" s="4"/>
      <c r="G20" s="62"/>
      <c r="H20" s="4"/>
      <c r="I20" s="62"/>
      <c r="J20" s="4"/>
      <c r="K20" s="62"/>
      <c r="L20" s="4"/>
      <c r="M20" s="62"/>
      <c r="N20" s="4"/>
      <c r="O20" s="19"/>
      <c r="P20" s="4"/>
      <c r="Q20" s="19"/>
      <c r="R20" s="4"/>
      <c r="S20" s="19"/>
      <c r="T20" s="4"/>
      <c r="U20" s="19"/>
      <c r="V20" s="4"/>
      <c r="W20" s="21"/>
      <c r="X20" s="4"/>
      <c r="Y20" s="19"/>
      <c r="Z20" s="4"/>
    </row>
    <row r="21" spans="1:26" ht="19.5" customHeight="1" x14ac:dyDescent="0.2">
      <c r="A21" s="8"/>
      <c r="B21" s="8"/>
      <c r="C21" s="108" t="s">
        <v>3</v>
      </c>
      <c r="D21" s="108"/>
      <c r="E21" s="108"/>
      <c r="F21" s="108"/>
      <c r="G21" s="108"/>
      <c r="H21" s="109"/>
      <c r="I21" s="108" t="s">
        <v>4</v>
      </c>
      <c r="J21" s="108"/>
      <c r="K21" s="108"/>
      <c r="L21" s="108"/>
      <c r="M21" s="108"/>
      <c r="N21" s="108"/>
    </row>
    <row r="22" spans="1:26" ht="19.5" customHeight="1" x14ac:dyDescent="0.2">
      <c r="A22" s="8"/>
      <c r="B22" s="8"/>
      <c r="C22" s="108" t="s">
        <v>3</v>
      </c>
      <c r="D22" s="108"/>
      <c r="E22" s="108"/>
      <c r="F22" s="108"/>
      <c r="G22" s="108"/>
      <c r="H22" s="109"/>
      <c r="I22" s="108" t="s">
        <v>4</v>
      </c>
      <c r="J22" s="108"/>
      <c r="K22" s="108"/>
      <c r="L22" s="108"/>
      <c r="M22" s="108"/>
      <c r="N22" s="108"/>
    </row>
    <row r="23" spans="1:26" ht="19.5" customHeight="1" x14ac:dyDescent="0.2">
      <c r="A23" s="8"/>
      <c r="B23" s="8"/>
      <c r="C23" s="63" t="s">
        <v>6</v>
      </c>
      <c r="D23" s="63"/>
      <c r="E23" s="63" t="s">
        <v>7</v>
      </c>
      <c r="F23" s="63"/>
      <c r="G23" s="63" t="s">
        <v>10</v>
      </c>
      <c r="H23" s="64"/>
      <c r="I23" s="63" t="s">
        <v>6</v>
      </c>
      <c r="J23" s="63"/>
      <c r="K23" s="63" t="s">
        <v>7</v>
      </c>
      <c r="L23" s="63"/>
      <c r="M23" s="63" t="s">
        <v>10</v>
      </c>
      <c r="N23" s="63"/>
    </row>
    <row r="24" spans="1:26" ht="19.5" customHeight="1" x14ac:dyDescent="0.2">
      <c r="A24" s="9"/>
      <c r="B24" s="9"/>
      <c r="C24" s="63" t="s">
        <v>6</v>
      </c>
      <c r="D24" s="63" t="s">
        <v>11</v>
      </c>
      <c r="E24" s="63" t="s">
        <v>211</v>
      </c>
      <c r="F24" s="63" t="s">
        <v>11</v>
      </c>
      <c r="G24" s="63" t="s">
        <v>212</v>
      </c>
      <c r="H24" s="64" t="s">
        <v>11</v>
      </c>
      <c r="I24" s="63" t="s">
        <v>6</v>
      </c>
      <c r="J24" s="63" t="s">
        <v>11</v>
      </c>
      <c r="K24" s="63" t="s">
        <v>211</v>
      </c>
      <c r="L24" s="63" t="s">
        <v>11</v>
      </c>
      <c r="M24" s="63" t="s">
        <v>212</v>
      </c>
      <c r="N24" s="63" t="s">
        <v>11</v>
      </c>
    </row>
    <row r="25" spans="1:26" x14ac:dyDescent="0.2">
      <c r="A25" s="31" t="s">
        <v>6</v>
      </c>
      <c r="B25" s="31" t="s">
        <v>6</v>
      </c>
      <c r="C25" s="48">
        <f>C26+C27</f>
        <v>1511</v>
      </c>
      <c r="D25" s="68">
        <v>1</v>
      </c>
      <c r="E25" s="48">
        <f>E26+E27</f>
        <v>1499</v>
      </c>
      <c r="F25" s="68">
        <v>1</v>
      </c>
      <c r="G25" s="48">
        <f>G26+G27</f>
        <v>12</v>
      </c>
      <c r="H25" s="68">
        <v>1</v>
      </c>
      <c r="I25" s="50">
        <f>I26+I27</f>
        <v>310</v>
      </c>
      <c r="J25" s="65">
        <v>1</v>
      </c>
      <c r="K25" s="50">
        <f>K26+K27</f>
        <v>309</v>
      </c>
      <c r="L25" s="65">
        <v>1</v>
      </c>
      <c r="M25" s="50">
        <f>M26+M27</f>
        <v>1</v>
      </c>
      <c r="N25" s="65">
        <v>1</v>
      </c>
    </row>
    <row r="26" spans="1:26" x14ac:dyDescent="0.2">
      <c r="A26" s="27" t="s">
        <v>20</v>
      </c>
      <c r="B26" s="27" t="s">
        <v>214</v>
      </c>
      <c r="C26" s="69">
        <v>1039</v>
      </c>
      <c r="D26" s="53">
        <f>C26/C25</f>
        <v>0.68762409000661817</v>
      </c>
      <c r="E26" s="69">
        <v>1035</v>
      </c>
      <c r="F26" s="53">
        <f>E26/E25</f>
        <v>0.69046030687124749</v>
      </c>
      <c r="G26" s="69">
        <v>4</v>
      </c>
      <c r="H26" s="53">
        <f>G26/G25</f>
        <v>0.33333333333333331</v>
      </c>
      <c r="I26" s="66">
        <v>238</v>
      </c>
      <c r="J26" s="55">
        <f>I26/I25</f>
        <v>0.76774193548387093</v>
      </c>
      <c r="K26" s="66">
        <v>237</v>
      </c>
      <c r="L26" s="55">
        <f>K26/K25</f>
        <v>0.76699029126213591</v>
      </c>
      <c r="M26" s="66">
        <v>1</v>
      </c>
      <c r="N26" s="55">
        <f>M26/M25</f>
        <v>1</v>
      </c>
    </row>
    <row r="27" spans="1:26" x14ac:dyDescent="0.2">
      <c r="A27" s="27" t="s">
        <v>21</v>
      </c>
      <c r="B27" s="27" t="s">
        <v>213</v>
      </c>
      <c r="C27" s="69">
        <v>472</v>
      </c>
      <c r="D27" s="53">
        <f>C27/C25</f>
        <v>0.31237590999338188</v>
      </c>
      <c r="E27" s="69">
        <v>464</v>
      </c>
      <c r="F27" s="53">
        <f>E27/E25</f>
        <v>0.30953969312875251</v>
      </c>
      <c r="G27" s="69">
        <v>8</v>
      </c>
      <c r="H27" s="53">
        <f>G27/G25</f>
        <v>0.66666666666666663</v>
      </c>
      <c r="I27" s="66">
        <v>72</v>
      </c>
      <c r="J27" s="55">
        <f>I27/I25</f>
        <v>0.23225806451612904</v>
      </c>
      <c r="K27" s="66">
        <v>72</v>
      </c>
      <c r="L27" s="55">
        <f>K27/K25</f>
        <v>0.23300970873786409</v>
      </c>
      <c r="M27" s="66">
        <v>0</v>
      </c>
      <c r="N27" s="55">
        <f>M27/M25</f>
        <v>0</v>
      </c>
    </row>
    <row r="28" spans="1:26" x14ac:dyDescent="0.2">
      <c r="A28" s="32" t="s">
        <v>35</v>
      </c>
      <c r="B28" s="32" t="s">
        <v>215</v>
      </c>
      <c r="C28" s="70">
        <f>C29+C30</f>
        <v>1096</v>
      </c>
      <c r="D28" s="68">
        <v>1</v>
      </c>
      <c r="E28" s="70">
        <f>E29+E30</f>
        <v>1089</v>
      </c>
      <c r="F28" s="68">
        <v>1</v>
      </c>
      <c r="G28" s="70">
        <f>G29+G30</f>
        <v>7</v>
      </c>
      <c r="H28" s="68">
        <v>1</v>
      </c>
      <c r="I28" s="61">
        <f>I29+I30</f>
        <v>184</v>
      </c>
      <c r="J28" s="65">
        <v>1</v>
      </c>
      <c r="K28" s="61">
        <f>K29+K30</f>
        <v>183</v>
      </c>
      <c r="L28" s="65">
        <v>1</v>
      </c>
      <c r="M28" s="61">
        <f>M29+M30</f>
        <v>1</v>
      </c>
      <c r="N28" s="65">
        <v>1</v>
      </c>
    </row>
    <row r="29" spans="1:26" ht="12.75" customHeight="1" x14ac:dyDescent="0.2">
      <c r="A29" s="27" t="s">
        <v>20</v>
      </c>
      <c r="B29" s="27" t="s">
        <v>214</v>
      </c>
      <c r="C29" s="52">
        <v>755</v>
      </c>
      <c r="D29" s="53">
        <f>C29/C28</f>
        <v>0.68886861313868608</v>
      </c>
      <c r="E29" s="52">
        <v>752</v>
      </c>
      <c r="F29" s="53">
        <f>E29/E28</f>
        <v>0.69054178145087231</v>
      </c>
      <c r="G29" s="52">
        <v>3</v>
      </c>
      <c r="H29" s="53">
        <v>0.83333333333333337</v>
      </c>
      <c r="I29" s="54">
        <v>136</v>
      </c>
      <c r="J29" s="55">
        <f>I29/I28</f>
        <v>0.73913043478260865</v>
      </c>
      <c r="K29" s="54">
        <v>135</v>
      </c>
      <c r="L29" s="55">
        <f>K29/K28</f>
        <v>0.73770491803278693</v>
      </c>
      <c r="M29" s="54">
        <v>1</v>
      </c>
      <c r="N29" s="55">
        <f>M29/M28</f>
        <v>1</v>
      </c>
    </row>
    <row r="30" spans="1:26" x14ac:dyDescent="0.2">
      <c r="A30" s="27" t="s">
        <v>21</v>
      </c>
      <c r="B30" s="27" t="s">
        <v>213</v>
      </c>
      <c r="C30" s="52">
        <v>341</v>
      </c>
      <c r="D30" s="53">
        <f>C30/C28</f>
        <v>0.31113138686131386</v>
      </c>
      <c r="E30" s="52">
        <v>337</v>
      </c>
      <c r="F30" s="53">
        <f>E30/E28</f>
        <v>0.30945821854912764</v>
      </c>
      <c r="G30" s="52">
        <v>4</v>
      </c>
      <c r="H30" s="53">
        <v>0.16666666666666666</v>
      </c>
      <c r="I30" s="54">
        <v>48</v>
      </c>
      <c r="J30" s="55">
        <f>I30/I28</f>
        <v>0.2608695652173913</v>
      </c>
      <c r="K30" s="54">
        <v>48</v>
      </c>
      <c r="L30" s="55">
        <f>K30/K28</f>
        <v>0.26229508196721313</v>
      </c>
      <c r="M30" s="54">
        <v>0</v>
      </c>
      <c r="N30" s="55">
        <f>M30/M28</f>
        <v>0</v>
      </c>
    </row>
    <row r="31" spans="1:26" x14ac:dyDescent="0.2">
      <c r="A31" s="32" t="s">
        <v>36</v>
      </c>
      <c r="B31" s="32" t="s">
        <v>216</v>
      </c>
      <c r="C31" s="70">
        <f>C32+C33</f>
        <v>415</v>
      </c>
      <c r="D31" s="68">
        <v>1</v>
      </c>
      <c r="E31" s="70">
        <f>E32+E33</f>
        <v>410</v>
      </c>
      <c r="F31" s="68">
        <v>1</v>
      </c>
      <c r="G31" s="70">
        <f>G32+G33</f>
        <v>5</v>
      </c>
      <c r="H31" s="68">
        <v>1</v>
      </c>
      <c r="I31" s="61">
        <f>I32+I33</f>
        <v>126</v>
      </c>
      <c r="J31" s="65">
        <v>1</v>
      </c>
      <c r="K31" s="61">
        <f>K32+K33</f>
        <v>126</v>
      </c>
      <c r="L31" s="65">
        <v>1</v>
      </c>
      <c r="M31" s="61">
        <f>M32+M33</f>
        <v>0</v>
      </c>
      <c r="N31" s="65" t="s">
        <v>19</v>
      </c>
    </row>
    <row r="32" spans="1:26" x14ac:dyDescent="0.2">
      <c r="A32" s="27" t="s">
        <v>20</v>
      </c>
      <c r="B32" s="27" t="s">
        <v>214</v>
      </c>
      <c r="C32" s="52">
        <v>284</v>
      </c>
      <c r="D32" s="53">
        <f>C32/C31</f>
        <v>0.68433734939759039</v>
      </c>
      <c r="E32" s="52">
        <v>283</v>
      </c>
      <c r="F32" s="53">
        <f>E32/E31</f>
        <v>0.69024390243902434</v>
      </c>
      <c r="G32" s="52">
        <v>1</v>
      </c>
      <c r="H32" s="53">
        <v>0.5</v>
      </c>
      <c r="I32" s="54">
        <v>102</v>
      </c>
      <c r="J32" s="55">
        <f>I32/I31</f>
        <v>0.80952380952380953</v>
      </c>
      <c r="K32" s="54">
        <v>102</v>
      </c>
      <c r="L32" s="55">
        <f>K32/K31</f>
        <v>0.80952380952380953</v>
      </c>
      <c r="M32" s="54">
        <v>0</v>
      </c>
      <c r="N32" s="55" t="s">
        <v>19</v>
      </c>
    </row>
    <row r="33" spans="1:14" ht="12.75" customHeight="1" x14ac:dyDescent="0.2">
      <c r="A33" s="27" t="s">
        <v>21</v>
      </c>
      <c r="B33" s="27" t="s">
        <v>213</v>
      </c>
      <c r="C33" s="52">
        <v>131</v>
      </c>
      <c r="D33" s="53">
        <f>C33/C31</f>
        <v>0.31566265060240961</v>
      </c>
      <c r="E33" s="52">
        <v>127</v>
      </c>
      <c r="F33" s="53">
        <f>E33/E31</f>
        <v>0.30975609756097561</v>
      </c>
      <c r="G33" s="52">
        <v>4</v>
      </c>
      <c r="H33" s="53">
        <v>0.5</v>
      </c>
      <c r="I33" s="54">
        <v>24</v>
      </c>
      <c r="J33" s="55">
        <f>I33/I31</f>
        <v>0.19047619047619047</v>
      </c>
      <c r="K33" s="54">
        <v>24</v>
      </c>
      <c r="L33" s="55">
        <f>K33/K31</f>
        <v>0.19047619047619047</v>
      </c>
      <c r="M33" s="54">
        <v>0</v>
      </c>
      <c r="N33" s="55" t="s">
        <v>19</v>
      </c>
    </row>
    <row r="34" spans="1:14" x14ac:dyDescent="0.2">
      <c r="A34" s="32" t="s">
        <v>45</v>
      </c>
      <c r="B34" s="32" t="s">
        <v>217</v>
      </c>
      <c r="C34" s="113">
        <f>C31/C25</f>
        <v>0.27465254798146921</v>
      </c>
      <c r="D34" s="113" t="s">
        <v>19</v>
      </c>
      <c r="E34" s="113">
        <f>E31/E25</f>
        <v>0.27351567711807873</v>
      </c>
      <c r="F34" s="113" t="s">
        <v>19</v>
      </c>
      <c r="G34" s="113">
        <f>G31/G25</f>
        <v>0.41666666666666669</v>
      </c>
      <c r="H34" s="113" t="s">
        <v>19</v>
      </c>
      <c r="I34" s="110">
        <f>I31/I25</f>
        <v>0.40645161290322579</v>
      </c>
      <c r="J34" s="110" t="s">
        <v>19</v>
      </c>
      <c r="K34" s="110">
        <f>K31/K25</f>
        <v>0.40776699029126212</v>
      </c>
      <c r="L34" s="110" t="s">
        <v>19</v>
      </c>
      <c r="M34" s="110" t="s">
        <v>19</v>
      </c>
      <c r="N34" s="110" t="s">
        <v>19</v>
      </c>
    </row>
    <row r="35" spans="1:14" x14ac:dyDescent="0.2">
      <c r="A35" s="27" t="s">
        <v>20</v>
      </c>
      <c r="B35" s="27" t="s">
        <v>214</v>
      </c>
      <c r="C35" s="114">
        <f>C32/C26</f>
        <v>0.27333974975938402</v>
      </c>
      <c r="D35" s="114" t="s">
        <v>19</v>
      </c>
      <c r="E35" s="114">
        <f>E32/E26</f>
        <v>0.27342995169082124</v>
      </c>
      <c r="F35" s="114" t="s">
        <v>19</v>
      </c>
      <c r="G35" s="114">
        <f>G32/G26</f>
        <v>0.25</v>
      </c>
      <c r="H35" s="114" t="s">
        <v>19</v>
      </c>
      <c r="I35" s="107">
        <f>I32/I26</f>
        <v>0.42857142857142855</v>
      </c>
      <c r="J35" s="107" t="s">
        <v>19</v>
      </c>
      <c r="K35" s="107">
        <f>K32/K26</f>
        <v>0.43037974683544306</v>
      </c>
      <c r="L35" s="107" t="s">
        <v>19</v>
      </c>
      <c r="M35" s="107" t="s">
        <v>19</v>
      </c>
      <c r="N35" s="107" t="s">
        <v>19</v>
      </c>
    </row>
    <row r="36" spans="1:14" x14ac:dyDescent="0.2">
      <c r="A36" s="27" t="s">
        <v>21</v>
      </c>
      <c r="B36" s="27" t="s">
        <v>213</v>
      </c>
      <c r="C36" s="114">
        <f>C33/C27</f>
        <v>0.27754237288135591</v>
      </c>
      <c r="D36" s="114" t="s">
        <v>19</v>
      </c>
      <c r="E36" s="114">
        <f>E33/E27</f>
        <v>0.27370689655172414</v>
      </c>
      <c r="F36" s="114" t="s">
        <v>19</v>
      </c>
      <c r="G36" s="114">
        <f>G33/G27</f>
        <v>0.5</v>
      </c>
      <c r="H36" s="114" t="s">
        <v>19</v>
      </c>
      <c r="I36" s="107">
        <f>I33/I27</f>
        <v>0.33333333333333331</v>
      </c>
      <c r="J36" s="107" t="s">
        <v>19</v>
      </c>
      <c r="K36" s="107">
        <f>K33/K27</f>
        <v>0.33333333333333331</v>
      </c>
      <c r="L36" s="107" t="s">
        <v>19</v>
      </c>
      <c r="M36" s="107" t="s">
        <v>19</v>
      </c>
      <c r="N36" s="107" t="s">
        <v>19</v>
      </c>
    </row>
    <row r="37" spans="1:14" x14ac:dyDescent="0.2">
      <c r="A37" s="2" t="s">
        <v>209</v>
      </c>
      <c r="B37" s="2"/>
    </row>
    <row r="38" spans="1:14" x14ac:dyDescent="0.2">
      <c r="A38" s="2" t="s">
        <v>210</v>
      </c>
      <c r="B38" s="2"/>
    </row>
    <row r="39" spans="1:14" x14ac:dyDescent="0.2">
      <c r="A39" s="2" t="s">
        <v>34</v>
      </c>
      <c r="B39" s="2"/>
    </row>
    <row r="40" spans="1:14" x14ac:dyDescent="0.2">
      <c r="A40" s="2" t="s">
        <v>82</v>
      </c>
      <c r="B40" s="2"/>
    </row>
  </sheetData>
  <mergeCells count="44">
    <mergeCell ref="C5:H5"/>
    <mergeCell ref="I5:N5"/>
    <mergeCell ref="C22:H22"/>
    <mergeCell ref="I22:N22"/>
    <mergeCell ref="C36:D36"/>
    <mergeCell ref="E36:F36"/>
    <mergeCell ref="G36:H36"/>
    <mergeCell ref="I36:J36"/>
    <mergeCell ref="K36:L36"/>
    <mergeCell ref="M36:N36"/>
    <mergeCell ref="M34:N34"/>
    <mergeCell ref="C35:D35"/>
    <mergeCell ref="E35:F35"/>
    <mergeCell ref="G35:H35"/>
    <mergeCell ref="I35:J35"/>
    <mergeCell ref="K35:L35"/>
    <mergeCell ref="M35:N35"/>
    <mergeCell ref="E19:F19"/>
    <mergeCell ref="G19:H19"/>
    <mergeCell ref="I19:J19"/>
    <mergeCell ref="K19:L19"/>
    <mergeCell ref="M19:N19"/>
    <mergeCell ref="C34:D34"/>
    <mergeCell ref="E34:F34"/>
    <mergeCell ref="G34:H34"/>
    <mergeCell ref="I34:J34"/>
    <mergeCell ref="K34:L34"/>
    <mergeCell ref="K17:L17"/>
    <mergeCell ref="M17:N17"/>
    <mergeCell ref="E18:F18"/>
    <mergeCell ref="G18:H18"/>
    <mergeCell ref="I18:J18"/>
    <mergeCell ref="K18:L18"/>
    <mergeCell ref="M18:N18"/>
    <mergeCell ref="C4:H4"/>
    <mergeCell ref="I4:N4"/>
    <mergeCell ref="C21:H21"/>
    <mergeCell ref="I21:N21"/>
    <mergeCell ref="C17:D17"/>
    <mergeCell ref="C18:D18"/>
    <mergeCell ref="C19:D19"/>
    <mergeCell ref="E17:F17"/>
    <mergeCell ref="G17:H17"/>
    <mergeCell ref="I17:J17"/>
  </mergeCells>
  <phoneticPr fontId="2" type="noConversion"/>
  <pageMargins left="0.75" right="0.75" top="1" bottom="1" header="0" footer="0"/>
  <pageSetup paperSize="9" orientation="landscape" r:id="rId1"/>
  <headerFooter alignWithMargins="0"/>
  <ignoredErrors>
    <ignoredError sqref="J26:J27 L26:L27 J9:J10 D9:D11 D26:D27 F26:F27 H26:H27 F9:F14 H9:H14 L9:L10 N9:N10 D1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Z40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14" width="9.7109375" style="1" customWidth="1"/>
    <col min="15" max="16" width="7.42578125" style="1" customWidth="1"/>
    <col min="17" max="18" width="9" style="1" customWidth="1"/>
    <col min="19" max="20" width="8.7109375" style="1" customWidth="1"/>
    <col min="21" max="22" width="7.85546875" style="1" customWidth="1"/>
    <col min="23" max="24" width="9.140625" style="1" customWidth="1"/>
    <col min="25" max="25" width="8.5703125" style="1" customWidth="1"/>
    <col min="26" max="26" width="8" style="1" customWidth="1"/>
    <col min="27" max="16384" width="11.42578125" style="1"/>
  </cols>
  <sheetData>
    <row r="1" spans="1:14" x14ac:dyDescent="0.2">
      <c r="A1" s="6" t="s">
        <v>127</v>
      </c>
      <c r="B1" s="6"/>
    </row>
    <row r="2" spans="1:14" x14ac:dyDescent="0.2">
      <c r="A2" s="25" t="s">
        <v>128</v>
      </c>
      <c r="B2" s="25"/>
    </row>
    <row r="4" spans="1:14" ht="19.5" customHeight="1" x14ac:dyDescent="0.2">
      <c r="A4" s="8"/>
      <c r="B4" s="8"/>
      <c r="C4" s="108" t="s">
        <v>2</v>
      </c>
      <c r="D4" s="108"/>
      <c r="E4" s="111"/>
      <c r="F4" s="108"/>
      <c r="G4" s="108"/>
      <c r="H4" s="109"/>
      <c r="I4" s="108" t="s">
        <v>188</v>
      </c>
      <c r="J4" s="112"/>
      <c r="K4" s="112"/>
      <c r="L4" s="112"/>
      <c r="M4" s="112"/>
      <c r="N4" s="112"/>
    </row>
    <row r="5" spans="1:14" ht="19.5" customHeight="1" x14ac:dyDescent="0.2">
      <c r="A5" s="8"/>
      <c r="B5" s="8"/>
      <c r="C5" s="108" t="s">
        <v>187</v>
      </c>
      <c r="D5" s="108"/>
      <c r="E5" s="111"/>
      <c r="F5" s="108"/>
      <c r="G5" s="108"/>
      <c r="H5" s="109"/>
      <c r="I5" s="108" t="s">
        <v>189</v>
      </c>
      <c r="J5" s="112"/>
      <c r="K5" s="112"/>
      <c r="L5" s="112"/>
      <c r="M5" s="112"/>
      <c r="N5" s="112"/>
    </row>
    <row r="6" spans="1:14" ht="19.5" customHeight="1" x14ac:dyDescent="0.2">
      <c r="A6" s="8"/>
      <c r="B6" s="8"/>
      <c r="C6" s="63" t="s">
        <v>6</v>
      </c>
      <c r="D6" s="63"/>
      <c r="E6" s="63" t="s">
        <v>7</v>
      </c>
      <c r="F6" s="63"/>
      <c r="G6" s="63" t="s">
        <v>10</v>
      </c>
      <c r="H6" s="64"/>
      <c r="I6" s="63" t="s">
        <v>6</v>
      </c>
      <c r="J6" s="63"/>
      <c r="K6" s="63" t="s">
        <v>7</v>
      </c>
      <c r="L6" s="63"/>
      <c r="M6" s="63" t="s">
        <v>10</v>
      </c>
      <c r="N6" s="63"/>
    </row>
    <row r="7" spans="1:14" ht="19.5" customHeight="1" x14ac:dyDescent="0.2">
      <c r="A7" s="9"/>
      <c r="B7" s="9"/>
      <c r="C7" s="63" t="s">
        <v>6</v>
      </c>
      <c r="D7" s="63" t="s">
        <v>11</v>
      </c>
      <c r="E7" s="63" t="s">
        <v>211</v>
      </c>
      <c r="F7" s="63" t="s">
        <v>11</v>
      </c>
      <c r="G7" s="63" t="s">
        <v>212</v>
      </c>
      <c r="H7" s="64" t="s">
        <v>11</v>
      </c>
      <c r="I7" s="63" t="s">
        <v>6</v>
      </c>
      <c r="J7" s="63" t="s">
        <v>11</v>
      </c>
      <c r="K7" s="63" t="s">
        <v>211</v>
      </c>
      <c r="L7" s="63" t="s">
        <v>11</v>
      </c>
      <c r="M7" s="63" t="s">
        <v>212</v>
      </c>
      <c r="N7" s="63" t="s">
        <v>11</v>
      </c>
    </row>
    <row r="8" spans="1:14" x14ac:dyDescent="0.2">
      <c r="A8" s="31" t="s">
        <v>6</v>
      </c>
      <c r="B8" s="31" t="s">
        <v>6</v>
      </c>
      <c r="C8" s="48">
        <f>C9+C10</f>
        <v>32752</v>
      </c>
      <c r="D8" s="68">
        <v>1</v>
      </c>
      <c r="E8" s="48">
        <f>E9+E10</f>
        <v>18598</v>
      </c>
      <c r="F8" s="68">
        <v>1</v>
      </c>
      <c r="G8" s="48">
        <f>G9+G10</f>
        <v>70</v>
      </c>
      <c r="H8" s="68">
        <v>1</v>
      </c>
      <c r="I8" s="48">
        <f>I9+I10</f>
        <v>2964</v>
      </c>
      <c r="J8" s="68">
        <v>1</v>
      </c>
      <c r="K8" s="48">
        <f>K9+K10</f>
        <v>2941</v>
      </c>
      <c r="L8" s="68">
        <v>1</v>
      </c>
      <c r="M8" s="48">
        <f>SUM(M9:M10)</f>
        <v>23</v>
      </c>
      <c r="N8" s="68">
        <v>1</v>
      </c>
    </row>
    <row r="9" spans="1:14" x14ac:dyDescent="0.2">
      <c r="A9" s="27" t="s">
        <v>20</v>
      </c>
      <c r="B9" s="27" t="s">
        <v>214</v>
      </c>
      <c r="C9" s="69">
        <f>18668+11862</f>
        <v>30530</v>
      </c>
      <c r="D9" s="53">
        <f>C9/C8</f>
        <v>0.93215681485100144</v>
      </c>
      <c r="E9" s="69">
        <f>11829+4572</f>
        <v>16401</v>
      </c>
      <c r="F9" s="53">
        <f>E9/E8</f>
        <v>0.88186901817399721</v>
      </c>
      <c r="G9" s="69">
        <f>33+12</f>
        <v>45</v>
      </c>
      <c r="H9" s="53">
        <f>G9/G8</f>
        <v>0.6428571428571429</v>
      </c>
      <c r="I9" s="69">
        <v>1855</v>
      </c>
      <c r="J9" s="53">
        <f>I9/I8</f>
        <v>0.62584345479082326</v>
      </c>
      <c r="K9" s="69">
        <v>1850</v>
      </c>
      <c r="L9" s="53">
        <f>K9/K8</f>
        <v>0.6290377422645359</v>
      </c>
      <c r="M9" s="69">
        <v>5</v>
      </c>
      <c r="N9" s="53">
        <f>M9/M8</f>
        <v>0.21739130434782608</v>
      </c>
    </row>
    <row r="10" spans="1:14" x14ac:dyDescent="0.2">
      <c r="A10" s="27" t="s">
        <v>21</v>
      </c>
      <c r="B10" s="27" t="s">
        <v>213</v>
      </c>
      <c r="C10" s="69">
        <f>1830+392</f>
        <v>2222</v>
      </c>
      <c r="D10" s="53">
        <f>C10/C8</f>
        <v>6.7843185148998536E-2</v>
      </c>
      <c r="E10" s="69">
        <f>1812+385</f>
        <v>2197</v>
      </c>
      <c r="F10" s="53">
        <f>E10/E8</f>
        <v>0.11813098182600279</v>
      </c>
      <c r="G10" s="69">
        <f>18+7</f>
        <v>25</v>
      </c>
      <c r="H10" s="53">
        <f>G10/G8</f>
        <v>0.35714285714285715</v>
      </c>
      <c r="I10" s="69">
        <v>1109</v>
      </c>
      <c r="J10" s="53">
        <f>I10/I8</f>
        <v>0.37415654520917679</v>
      </c>
      <c r="K10" s="69">
        <v>1091</v>
      </c>
      <c r="L10" s="53">
        <f>K10/K8</f>
        <v>0.37096225773546415</v>
      </c>
      <c r="M10" s="69">
        <v>18</v>
      </c>
      <c r="N10" s="53">
        <f>M10/M8</f>
        <v>0.78260869565217395</v>
      </c>
    </row>
    <row r="11" spans="1:14" x14ac:dyDescent="0.2">
      <c r="A11" s="32" t="s">
        <v>35</v>
      </c>
      <c r="B11" s="32" t="s">
        <v>215</v>
      </c>
      <c r="C11" s="70">
        <f>C12+C13</f>
        <v>13692</v>
      </c>
      <c r="D11" s="68">
        <v>1</v>
      </c>
      <c r="E11" s="70">
        <f>E12+E13</f>
        <v>13641</v>
      </c>
      <c r="F11" s="68">
        <v>1</v>
      </c>
      <c r="G11" s="70">
        <f>G12+G13</f>
        <v>51</v>
      </c>
      <c r="H11" s="68">
        <v>1</v>
      </c>
      <c r="I11" s="70">
        <f>I12+I13</f>
        <v>2054</v>
      </c>
      <c r="J11" s="68">
        <v>1</v>
      </c>
      <c r="K11" s="70">
        <f>K12+K13</f>
        <v>2035</v>
      </c>
      <c r="L11" s="68">
        <v>1</v>
      </c>
      <c r="M11" s="70">
        <f>SUM(M12:M13)</f>
        <v>19</v>
      </c>
      <c r="N11" s="68">
        <v>1</v>
      </c>
    </row>
    <row r="12" spans="1:14" s="5" customFormat="1" ht="12.75" customHeight="1" x14ac:dyDescent="0.2">
      <c r="A12" s="27" t="s">
        <v>20</v>
      </c>
      <c r="B12" s="27" t="s">
        <v>214</v>
      </c>
      <c r="C12" s="52">
        <v>11862</v>
      </c>
      <c r="D12" s="53">
        <f>C12/C11</f>
        <v>0.86634531113058721</v>
      </c>
      <c r="E12" s="52">
        <v>11829</v>
      </c>
      <c r="F12" s="53">
        <f>E12/E11</f>
        <v>0.86716516384429299</v>
      </c>
      <c r="G12" s="52">
        <v>33</v>
      </c>
      <c r="H12" s="53">
        <f>G12/G11</f>
        <v>0.6470588235294118</v>
      </c>
      <c r="I12" s="52">
        <v>1295</v>
      </c>
      <c r="J12" s="53">
        <f>I12/I11</f>
        <v>0.63047711781888993</v>
      </c>
      <c r="K12" s="52">
        <v>1291</v>
      </c>
      <c r="L12" s="53">
        <f>K12/K11</f>
        <v>0.63439803439803444</v>
      </c>
      <c r="M12" s="52">
        <v>4</v>
      </c>
      <c r="N12" s="53">
        <f>M12/M11</f>
        <v>0.21052631578947367</v>
      </c>
    </row>
    <row r="13" spans="1:14" x14ac:dyDescent="0.2">
      <c r="A13" s="27" t="s">
        <v>21</v>
      </c>
      <c r="B13" s="27" t="s">
        <v>213</v>
      </c>
      <c r="C13" s="52">
        <v>1830</v>
      </c>
      <c r="D13" s="53">
        <f>C13/C11</f>
        <v>0.13365468886941279</v>
      </c>
      <c r="E13" s="52">
        <v>1812</v>
      </c>
      <c r="F13" s="53">
        <f>E13/E11</f>
        <v>0.13283483615570707</v>
      </c>
      <c r="G13" s="52">
        <v>18</v>
      </c>
      <c r="H13" s="53">
        <f>G13/G11</f>
        <v>0.35294117647058826</v>
      </c>
      <c r="I13" s="52">
        <v>759</v>
      </c>
      <c r="J13" s="53">
        <f>I13/I11</f>
        <v>0.36952288218111001</v>
      </c>
      <c r="K13" s="52">
        <v>744</v>
      </c>
      <c r="L13" s="53">
        <f>K13/K11</f>
        <v>0.36560196560196562</v>
      </c>
      <c r="M13" s="52">
        <v>15</v>
      </c>
      <c r="N13" s="53">
        <f>M13/M11</f>
        <v>0.78947368421052633</v>
      </c>
    </row>
    <row r="14" spans="1:14" x14ac:dyDescent="0.2">
      <c r="A14" s="32" t="s">
        <v>36</v>
      </c>
      <c r="B14" s="32" t="s">
        <v>216</v>
      </c>
      <c r="C14" s="70">
        <f>C15+C16</f>
        <v>4976</v>
      </c>
      <c r="D14" s="68">
        <v>1</v>
      </c>
      <c r="E14" s="70">
        <f>E15+E16</f>
        <v>4957</v>
      </c>
      <c r="F14" s="68">
        <f>E14/C14</f>
        <v>0.9961816720257235</v>
      </c>
      <c r="G14" s="70">
        <f>G15+G16</f>
        <v>19</v>
      </c>
      <c r="H14" s="68">
        <f>G14/C14</f>
        <v>3.8183279742765273E-3</v>
      </c>
      <c r="I14" s="70">
        <f>I15+I16</f>
        <v>910</v>
      </c>
      <c r="J14" s="68">
        <v>1</v>
      </c>
      <c r="K14" s="70">
        <f>K15+K16</f>
        <v>906</v>
      </c>
      <c r="L14" s="68">
        <v>1</v>
      </c>
      <c r="M14" s="70">
        <f>SUM(M15:M16)</f>
        <v>4</v>
      </c>
      <c r="N14" s="68">
        <v>1</v>
      </c>
    </row>
    <row r="15" spans="1:14" x14ac:dyDescent="0.2">
      <c r="A15" s="27" t="s">
        <v>20</v>
      </c>
      <c r="B15" s="27" t="s">
        <v>214</v>
      </c>
      <c r="C15" s="52">
        <v>4584</v>
      </c>
      <c r="D15" s="53">
        <f>C15/C14</f>
        <v>0.9212218649517685</v>
      </c>
      <c r="E15" s="52">
        <v>4572</v>
      </c>
      <c r="F15" s="53">
        <f>E15/E14</f>
        <v>0.92233205567883803</v>
      </c>
      <c r="G15" s="52">
        <v>12</v>
      </c>
      <c r="H15" s="53">
        <f>G15/G14</f>
        <v>0.63157894736842102</v>
      </c>
      <c r="I15" s="52">
        <v>560</v>
      </c>
      <c r="J15" s="53">
        <f>I15/I14</f>
        <v>0.61538461538461542</v>
      </c>
      <c r="K15" s="52">
        <v>559</v>
      </c>
      <c r="L15" s="53">
        <f>K15/K14</f>
        <v>0.61699779249448128</v>
      </c>
      <c r="M15" s="52">
        <v>1</v>
      </c>
      <c r="N15" s="53">
        <f>M15/M14</f>
        <v>0.25</v>
      </c>
    </row>
    <row r="16" spans="1:14" s="5" customFormat="1" ht="12.75" customHeight="1" x14ac:dyDescent="0.2">
      <c r="A16" s="27" t="s">
        <v>21</v>
      </c>
      <c r="B16" s="27" t="s">
        <v>213</v>
      </c>
      <c r="C16" s="52">
        <v>392</v>
      </c>
      <c r="D16" s="53">
        <f>C16/C14</f>
        <v>7.8778135048231515E-2</v>
      </c>
      <c r="E16" s="52">
        <v>385</v>
      </c>
      <c r="F16" s="53">
        <f>E16/E14</f>
        <v>7.7667944321161989E-2</v>
      </c>
      <c r="G16" s="52">
        <v>7</v>
      </c>
      <c r="H16" s="53">
        <f>G16/G14</f>
        <v>0.36842105263157893</v>
      </c>
      <c r="I16" s="52">
        <v>350</v>
      </c>
      <c r="J16" s="53">
        <f>I16/I14</f>
        <v>0.38461538461538464</v>
      </c>
      <c r="K16" s="52">
        <v>347</v>
      </c>
      <c r="L16" s="53">
        <f>K16/K14</f>
        <v>0.38300220750551878</v>
      </c>
      <c r="M16" s="52">
        <v>3</v>
      </c>
      <c r="N16" s="53">
        <f>M16/M14</f>
        <v>0.75</v>
      </c>
    </row>
    <row r="17" spans="1:26" x14ac:dyDescent="0.2">
      <c r="A17" s="32" t="s">
        <v>45</v>
      </c>
      <c r="B17" s="32" t="s">
        <v>217</v>
      </c>
      <c r="C17" s="113">
        <f>C14/C8</f>
        <v>0.15192965315095261</v>
      </c>
      <c r="D17" s="113" t="s">
        <v>19</v>
      </c>
      <c r="E17" s="113">
        <f>E14/E8</f>
        <v>0.26653403591784064</v>
      </c>
      <c r="F17" s="113" t="s">
        <v>19</v>
      </c>
      <c r="G17" s="113">
        <f>G14/G8</f>
        <v>0.27142857142857141</v>
      </c>
      <c r="H17" s="113" t="s">
        <v>19</v>
      </c>
      <c r="I17" s="113">
        <f>I14/I8</f>
        <v>0.30701754385964913</v>
      </c>
      <c r="J17" s="113" t="s">
        <v>19</v>
      </c>
      <c r="K17" s="113">
        <f>K14/K8</f>
        <v>0.30805848350901055</v>
      </c>
      <c r="L17" s="113" t="s">
        <v>19</v>
      </c>
      <c r="M17" s="113">
        <f>M14/M8</f>
        <v>0.17391304347826086</v>
      </c>
      <c r="N17" s="113" t="s">
        <v>19</v>
      </c>
    </row>
    <row r="18" spans="1:26" x14ac:dyDescent="0.2">
      <c r="A18" s="27" t="s">
        <v>20</v>
      </c>
      <c r="B18" s="27" t="s">
        <v>214</v>
      </c>
      <c r="C18" s="114">
        <f t="shared" ref="C18:E19" si="0">C15/C9</f>
        <v>0.15014739600393057</v>
      </c>
      <c r="D18" s="114" t="s">
        <v>19</v>
      </c>
      <c r="E18" s="114">
        <f t="shared" si="0"/>
        <v>0.27876349003109568</v>
      </c>
      <c r="F18" s="114" t="s">
        <v>19</v>
      </c>
      <c r="G18" s="114">
        <f>G15/G9</f>
        <v>0.26666666666666666</v>
      </c>
      <c r="H18" s="114" t="s">
        <v>19</v>
      </c>
      <c r="I18" s="114">
        <f>I15/I9</f>
        <v>0.30188679245283018</v>
      </c>
      <c r="J18" s="114" t="s">
        <v>19</v>
      </c>
      <c r="K18" s="114">
        <f>K15/K9</f>
        <v>0.30216216216216218</v>
      </c>
      <c r="L18" s="114" t="s">
        <v>19</v>
      </c>
      <c r="M18" s="114">
        <f>M15/M9</f>
        <v>0.2</v>
      </c>
      <c r="N18" s="114" t="s">
        <v>19</v>
      </c>
    </row>
    <row r="19" spans="1:26" x14ac:dyDescent="0.2">
      <c r="A19" s="27" t="s">
        <v>21</v>
      </c>
      <c r="B19" s="27" t="s">
        <v>213</v>
      </c>
      <c r="C19" s="114">
        <f t="shared" si="0"/>
        <v>0.17641764176417643</v>
      </c>
      <c r="D19" s="114" t="s">
        <v>19</v>
      </c>
      <c r="E19" s="114">
        <f t="shared" si="0"/>
        <v>0.17523896222121074</v>
      </c>
      <c r="F19" s="114" t="s">
        <v>19</v>
      </c>
      <c r="G19" s="114">
        <f>G16/G10</f>
        <v>0.28000000000000003</v>
      </c>
      <c r="H19" s="114" t="s">
        <v>19</v>
      </c>
      <c r="I19" s="114">
        <f>I16/I10</f>
        <v>0.31559963931469792</v>
      </c>
      <c r="J19" s="114" t="s">
        <v>19</v>
      </c>
      <c r="K19" s="114">
        <f>K16/K10</f>
        <v>0.31805682859761686</v>
      </c>
      <c r="L19" s="114" t="s">
        <v>19</v>
      </c>
      <c r="M19" s="114">
        <f>M16/M10</f>
        <v>0.16666666666666666</v>
      </c>
      <c r="N19" s="114" t="s">
        <v>19</v>
      </c>
    </row>
    <row r="20" spans="1:26" x14ac:dyDescent="0.2">
      <c r="C20" s="62"/>
      <c r="D20" s="4"/>
      <c r="E20" s="62"/>
      <c r="F20" s="4"/>
      <c r="G20" s="62"/>
      <c r="H20" s="4"/>
      <c r="I20" s="62"/>
      <c r="J20" s="4"/>
      <c r="K20" s="62"/>
      <c r="L20" s="4"/>
      <c r="M20" s="62"/>
      <c r="N20" s="4"/>
      <c r="O20" s="19"/>
      <c r="P20" s="4"/>
      <c r="Q20" s="19"/>
      <c r="R20" s="4"/>
      <c r="S20" s="19"/>
      <c r="T20" s="4"/>
      <c r="U20" s="19"/>
      <c r="V20" s="4"/>
      <c r="W20" s="21"/>
      <c r="X20" s="4"/>
      <c r="Y20" s="19"/>
      <c r="Z20" s="4"/>
    </row>
    <row r="21" spans="1:26" ht="19.5" customHeight="1" x14ac:dyDescent="0.2">
      <c r="A21" s="8"/>
      <c r="B21" s="8"/>
      <c r="C21" s="108" t="s">
        <v>3</v>
      </c>
      <c r="D21" s="108"/>
      <c r="E21" s="108"/>
      <c r="F21" s="108"/>
      <c r="G21" s="108"/>
      <c r="H21" s="109"/>
      <c r="I21" s="108" t="s">
        <v>4</v>
      </c>
      <c r="J21" s="108"/>
      <c r="K21" s="108"/>
      <c r="L21" s="108"/>
      <c r="M21" s="108"/>
      <c r="N21" s="108"/>
    </row>
    <row r="22" spans="1:26" ht="19.5" customHeight="1" x14ac:dyDescent="0.2">
      <c r="A22" s="8"/>
      <c r="B22" s="8"/>
      <c r="C22" s="108" t="s">
        <v>3</v>
      </c>
      <c r="D22" s="108"/>
      <c r="E22" s="108"/>
      <c r="F22" s="108"/>
      <c r="G22" s="108"/>
      <c r="H22" s="109"/>
      <c r="I22" s="108" t="s">
        <v>4</v>
      </c>
      <c r="J22" s="108"/>
      <c r="K22" s="108"/>
      <c r="L22" s="108"/>
      <c r="M22" s="108"/>
      <c r="N22" s="108"/>
    </row>
    <row r="23" spans="1:26" ht="19.5" customHeight="1" x14ac:dyDescent="0.2">
      <c r="A23" s="8"/>
      <c r="B23" s="8"/>
      <c r="C23" s="63" t="s">
        <v>6</v>
      </c>
      <c r="D23" s="63"/>
      <c r="E23" s="63" t="s">
        <v>7</v>
      </c>
      <c r="F23" s="63"/>
      <c r="G23" s="63" t="s">
        <v>10</v>
      </c>
      <c r="H23" s="64"/>
      <c r="I23" s="63" t="s">
        <v>6</v>
      </c>
      <c r="J23" s="63"/>
      <c r="K23" s="63" t="s">
        <v>7</v>
      </c>
      <c r="L23" s="63"/>
      <c r="M23" s="63" t="s">
        <v>10</v>
      </c>
      <c r="N23" s="63"/>
    </row>
    <row r="24" spans="1:26" ht="19.5" customHeight="1" x14ac:dyDescent="0.2">
      <c r="A24" s="9"/>
      <c r="B24" s="9"/>
      <c r="C24" s="63" t="s">
        <v>6</v>
      </c>
      <c r="D24" s="63" t="s">
        <v>11</v>
      </c>
      <c r="E24" s="63" t="s">
        <v>211</v>
      </c>
      <c r="F24" s="63" t="s">
        <v>11</v>
      </c>
      <c r="G24" s="63" t="s">
        <v>212</v>
      </c>
      <c r="H24" s="64" t="s">
        <v>11</v>
      </c>
      <c r="I24" s="63" t="s">
        <v>6</v>
      </c>
      <c r="J24" s="63" t="s">
        <v>11</v>
      </c>
      <c r="K24" s="63" t="s">
        <v>211</v>
      </c>
      <c r="L24" s="63" t="s">
        <v>11</v>
      </c>
      <c r="M24" s="63" t="s">
        <v>212</v>
      </c>
      <c r="N24" s="63" t="s">
        <v>11</v>
      </c>
    </row>
    <row r="25" spans="1:26" x14ac:dyDescent="0.2">
      <c r="A25" s="31" t="s">
        <v>6</v>
      </c>
      <c r="B25" s="31" t="s">
        <v>6</v>
      </c>
      <c r="C25" s="48">
        <f>C26+C27</f>
        <v>1209</v>
      </c>
      <c r="D25" s="68">
        <v>1</v>
      </c>
      <c r="E25" s="48">
        <f>SUM(E26+E27)</f>
        <v>1203</v>
      </c>
      <c r="F25" s="68">
        <v>1</v>
      </c>
      <c r="G25" s="48">
        <f>SUM(G26+G27)</f>
        <v>6</v>
      </c>
      <c r="H25" s="68">
        <v>1</v>
      </c>
      <c r="I25" s="50">
        <f>I26+I27</f>
        <v>270</v>
      </c>
      <c r="J25" s="65">
        <v>1</v>
      </c>
      <c r="K25" s="50">
        <f>K26+K27</f>
        <v>267</v>
      </c>
      <c r="L25" s="65">
        <v>1</v>
      </c>
      <c r="M25" s="50">
        <f>M26+M27</f>
        <v>2</v>
      </c>
      <c r="N25" s="65">
        <v>1</v>
      </c>
    </row>
    <row r="26" spans="1:26" x14ac:dyDescent="0.2">
      <c r="A26" s="27" t="s">
        <v>20</v>
      </c>
      <c r="B26" s="27" t="s">
        <v>214</v>
      </c>
      <c r="C26" s="69">
        <v>886</v>
      </c>
      <c r="D26" s="53">
        <f>C26/C25</f>
        <v>0.73283705541770061</v>
      </c>
      <c r="E26" s="69">
        <v>884</v>
      </c>
      <c r="F26" s="53">
        <f>E26/E25</f>
        <v>0.73482959268495429</v>
      </c>
      <c r="G26" s="69">
        <v>2</v>
      </c>
      <c r="H26" s="53">
        <f>G26/G25</f>
        <v>0.33333333333333331</v>
      </c>
      <c r="I26" s="66">
        <v>198</v>
      </c>
      <c r="J26" s="55">
        <f>I26/I25</f>
        <v>0.73333333333333328</v>
      </c>
      <c r="K26" s="66">
        <v>197</v>
      </c>
      <c r="L26" s="55">
        <f>K26/K25</f>
        <v>0.73782771535580527</v>
      </c>
      <c r="M26" s="66">
        <v>1</v>
      </c>
      <c r="N26" s="55">
        <f>M26/M25</f>
        <v>0.5</v>
      </c>
    </row>
    <row r="27" spans="1:26" x14ac:dyDescent="0.2">
      <c r="A27" s="27" t="s">
        <v>21</v>
      </c>
      <c r="B27" s="27" t="s">
        <v>213</v>
      </c>
      <c r="C27" s="69">
        <v>323</v>
      </c>
      <c r="D27" s="53">
        <f>C27/C25</f>
        <v>0.26716294458229944</v>
      </c>
      <c r="E27" s="69">
        <v>319</v>
      </c>
      <c r="F27" s="53">
        <f>E27/E25</f>
        <v>0.26517040731504571</v>
      </c>
      <c r="G27" s="69">
        <v>4</v>
      </c>
      <c r="H27" s="53">
        <f>G27/G25</f>
        <v>0.66666666666666663</v>
      </c>
      <c r="I27" s="66">
        <v>72</v>
      </c>
      <c r="J27" s="55">
        <f>I27/I25</f>
        <v>0.26666666666666666</v>
      </c>
      <c r="K27" s="66">
        <v>70</v>
      </c>
      <c r="L27" s="55">
        <f>K27/K25</f>
        <v>0.26217228464419473</v>
      </c>
      <c r="M27" s="66">
        <v>1</v>
      </c>
      <c r="N27" s="55">
        <f>M27/M25</f>
        <v>0.5</v>
      </c>
    </row>
    <row r="28" spans="1:26" x14ac:dyDescent="0.2">
      <c r="A28" s="32" t="s">
        <v>35</v>
      </c>
      <c r="B28" s="32" t="s">
        <v>215</v>
      </c>
      <c r="C28" s="70">
        <f>SUM(C29:C30)</f>
        <v>836</v>
      </c>
      <c r="D28" s="68">
        <v>1</v>
      </c>
      <c r="E28" s="70">
        <f>E29+E30</f>
        <v>931</v>
      </c>
      <c r="F28" s="68">
        <v>1</v>
      </c>
      <c r="G28" s="70">
        <f>SUM(G29+G30)</f>
        <v>5</v>
      </c>
      <c r="H28" s="68">
        <v>1</v>
      </c>
      <c r="I28" s="61">
        <f>I29+I30</f>
        <v>161</v>
      </c>
      <c r="J28" s="65">
        <v>1</v>
      </c>
      <c r="K28" s="61">
        <f>K29+K30</f>
        <v>159</v>
      </c>
      <c r="L28" s="65">
        <v>1</v>
      </c>
      <c r="M28" s="61">
        <f>M29+M30</f>
        <v>2</v>
      </c>
      <c r="N28" s="65">
        <v>1</v>
      </c>
    </row>
    <row r="29" spans="1:26" ht="12.75" customHeight="1" x14ac:dyDescent="0.2">
      <c r="A29" s="27" t="s">
        <v>20</v>
      </c>
      <c r="B29" s="27" t="s">
        <v>214</v>
      </c>
      <c r="C29" s="52">
        <v>688</v>
      </c>
      <c r="D29" s="53">
        <f>C29/C28</f>
        <v>0.82296650717703346</v>
      </c>
      <c r="E29" s="52">
        <v>686</v>
      </c>
      <c r="F29" s="53">
        <f>E29/E28</f>
        <v>0.73684210526315785</v>
      </c>
      <c r="G29" s="52">
        <v>2</v>
      </c>
      <c r="H29" s="53">
        <f>G29/G28</f>
        <v>0.4</v>
      </c>
      <c r="I29" s="54">
        <v>115</v>
      </c>
      <c r="J29" s="55">
        <f>I29/I28</f>
        <v>0.7142857142857143</v>
      </c>
      <c r="K29" s="54">
        <v>114</v>
      </c>
      <c r="L29" s="55">
        <f>K29/K28</f>
        <v>0.71698113207547165</v>
      </c>
      <c r="M29" s="54">
        <v>1</v>
      </c>
      <c r="N29" s="55">
        <f>M29/M28</f>
        <v>0.5</v>
      </c>
    </row>
    <row r="30" spans="1:26" x14ac:dyDescent="0.2">
      <c r="A30" s="27" t="s">
        <v>21</v>
      </c>
      <c r="B30" s="27" t="s">
        <v>213</v>
      </c>
      <c r="C30" s="52">
        <v>148</v>
      </c>
      <c r="D30" s="53">
        <f>C30/C28</f>
        <v>0.17703349282296652</v>
      </c>
      <c r="E30" s="52">
        <v>245</v>
      </c>
      <c r="F30" s="53">
        <f>E30/E28</f>
        <v>0.26315789473684209</v>
      </c>
      <c r="G30" s="52">
        <v>3</v>
      </c>
      <c r="H30" s="53">
        <f>G30/G28</f>
        <v>0.6</v>
      </c>
      <c r="I30" s="54">
        <v>46</v>
      </c>
      <c r="J30" s="55">
        <f>I30/I28</f>
        <v>0.2857142857142857</v>
      </c>
      <c r="K30" s="54">
        <v>45</v>
      </c>
      <c r="L30" s="55">
        <f>K30/K28</f>
        <v>0.28301886792452829</v>
      </c>
      <c r="M30" s="54">
        <v>1</v>
      </c>
      <c r="N30" s="55">
        <f>M30/M28</f>
        <v>0.5</v>
      </c>
    </row>
    <row r="31" spans="1:26" x14ac:dyDescent="0.2">
      <c r="A31" s="32" t="s">
        <v>36</v>
      </c>
      <c r="B31" s="32" t="s">
        <v>216</v>
      </c>
      <c r="C31" s="70">
        <f>SUM(C32+C33)</f>
        <v>273</v>
      </c>
      <c r="D31" s="68">
        <v>1</v>
      </c>
      <c r="E31" s="70">
        <f>SUM(E32+E33)</f>
        <v>272</v>
      </c>
      <c r="F31" s="68">
        <v>1</v>
      </c>
      <c r="G31" s="70">
        <f>SUM(G32+G33)</f>
        <v>1</v>
      </c>
      <c r="H31" s="53">
        <v>1</v>
      </c>
      <c r="I31" s="61">
        <f>I32+I33</f>
        <v>109</v>
      </c>
      <c r="J31" s="65">
        <v>1</v>
      </c>
      <c r="K31" s="61">
        <f>K32+K33</f>
        <v>108</v>
      </c>
      <c r="L31" s="65">
        <v>1</v>
      </c>
      <c r="M31" s="61">
        <f>M32+M33</f>
        <v>1</v>
      </c>
      <c r="N31" s="65">
        <v>1</v>
      </c>
    </row>
    <row r="32" spans="1:26" x14ac:dyDescent="0.2">
      <c r="A32" s="27" t="s">
        <v>20</v>
      </c>
      <c r="B32" s="27" t="s">
        <v>214</v>
      </c>
      <c r="C32" s="52">
        <v>198</v>
      </c>
      <c r="D32" s="53">
        <f>C32/C31</f>
        <v>0.72527472527472525</v>
      </c>
      <c r="E32" s="52">
        <v>198</v>
      </c>
      <c r="F32" s="53">
        <f>E32/E31</f>
        <v>0.7279411764705882</v>
      </c>
      <c r="G32" s="52">
        <v>0</v>
      </c>
      <c r="H32" s="53">
        <f>G32/G30</f>
        <v>0</v>
      </c>
      <c r="I32" s="54">
        <v>83</v>
      </c>
      <c r="J32" s="55">
        <f>I32/I31</f>
        <v>0.76146788990825687</v>
      </c>
      <c r="K32" s="54">
        <v>83</v>
      </c>
      <c r="L32" s="55">
        <f>K32/K31</f>
        <v>0.76851851851851849</v>
      </c>
      <c r="M32" s="54">
        <v>0</v>
      </c>
      <c r="N32" s="55">
        <f>M32/M31</f>
        <v>0</v>
      </c>
    </row>
    <row r="33" spans="1:14" ht="12.75" customHeight="1" x14ac:dyDescent="0.2">
      <c r="A33" s="27" t="s">
        <v>21</v>
      </c>
      <c r="B33" s="27" t="s">
        <v>213</v>
      </c>
      <c r="C33" s="52">
        <v>75</v>
      </c>
      <c r="D33" s="53">
        <f>C33/C31</f>
        <v>0.27472527472527475</v>
      </c>
      <c r="E33" s="52">
        <v>74</v>
      </c>
      <c r="F33" s="53">
        <f>E33/E31</f>
        <v>0.27205882352941174</v>
      </c>
      <c r="G33" s="52">
        <v>1</v>
      </c>
      <c r="H33" s="53">
        <f>G33/G31</f>
        <v>1</v>
      </c>
      <c r="I33" s="54">
        <v>26</v>
      </c>
      <c r="J33" s="55">
        <f>I33/I31</f>
        <v>0.23853211009174313</v>
      </c>
      <c r="K33" s="54">
        <v>25</v>
      </c>
      <c r="L33" s="55">
        <f>K33/K31</f>
        <v>0.23148148148148148</v>
      </c>
      <c r="M33" s="54">
        <v>1</v>
      </c>
      <c r="N33" s="90">
        <f>M33/M31</f>
        <v>1</v>
      </c>
    </row>
    <row r="34" spans="1:14" x14ac:dyDescent="0.2">
      <c r="A34" s="32" t="s">
        <v>45</v>
      </c>
      <c r="B34" s="32" t="s">
        <v>217</v>
      </c>
      <c r="C34" s="113">
        <f>C31/C25</f>
        <v>0.22580645161290322</v>
      </c>
      <c r="D34" s="113" t="s">
        <v>19</v>
      </c>
      <c r="E34" s="113">
        <f>E31/E25</f>
        <v>0.22610141313383209</v>
      </c>
      <c r="F34" s="113" t="s">
        <v>19</v>
      </c>
      <c r="G34" s="113">
        <f>G31/G25</f>
        <v>0.16666666666666666</v>
      </c>
      <c r="H34" s="113" t="s">
        <v>19</v>
      </c>
      <c r="I34" s="110">
        <f>I31/I25</f>
        <v>0.40370370370370373</v>
      </c>
      <c r="J34" s="110" t="s">
        <v>19</v>
      </c>
      <c r="K34" s="110">
        <f>K31/K25</f>
        <v>0.4044943820224719</v>
      </c>
      <c r="L34" s="110" t="s">
        <v>19</v>
      </c>
      <c r="M34" s="115">
        <f>M31/M25</f>
        <v>0.5</v>
      </c>
      <c r="N34" s="115" t="s">
        <v>19</v>
      </c>
    </row>
    <row r="35" spans="1:14" x14ac:dyDescent="0.2">
      <c r="A35" s="27" t="s">
        <v>20</v>
      </c>
      <c r="B35" s="27" t="s">
        <v>214</v>
      </c>
      <c r="C35" s="114">
        <f>C32/C26</f>
        <v>0.2234762979683973</v>
      </c>
      <c r="D35" s="114" t="s">
        <v>19</v>
      </c>
      <c r="E35" s="114">
        <f>E32/E26</f>
        <v>0.2239819004524887</v>
      </c>
      <c r="F35" s="114" t="s">
        <v>19</v>
      </c>
      <c r="G35" s="114">
        <f>G32/G26</f>
        <v>0</v>
      </c>
      <c r="H35" s="114" t="s">
        <v>19</v>
      </c>
      <c r="I35" s="107">
        <f>I32/I26</f>
        <v>0.41919191919191917</v>
      </c>
      <c r="J35" s="107" t="s">
        <v>19</v>
      </c>
      <c r="K35" s="107">
        <f>K32/K26</f>
        <v>0.42131979695431471</v>
      </c>
      <c r="L35" s="107" t="s">
        <v>19</v>
      </c>
      <c r="M35" s="107">
        <f>M32/M26</f>
        <v>0</v>
      </c>
      <c r="N35" s="107" t="s">
        <v>19</v>
      </c>
    </row>
    <row r="36" spans="1:14" x14ac:dyDescent="0.2">
      <c r="A36" s="27" t="s">
        <v>21</v>
      </c>
      <c r="B36" s="27" t="s">
        <v>213</v>
      </c>
      <c r="C36" s="114">
        <f>C33/C27</f>
        <v>0.23219814241486067</v>
      </c>
      <c r="D36" s="114" t="s">
        <v>19</v>
      </c>
      <c r="E36" s="114">
        <f>E33/E27</f>
        <v>0.23197492163009403</v>
      </c>
      <c r="F36" s="114" t="s">
        <v>19</v>
      </c>
      <c r="G36" s="114">
        <f>G33/G27</f>
        <v>0.25</v>
      </c>
      <c r="H36" s="114" t="s">
        <v>19</v>
      </c>
      <c r="I36" s="107">
        <f>I33/I27</f>
        <v>0.3611111111111111</v>
      </c>
      <c r="J36" s="107" t="s">
        <v>19</v>
      </c>
      <c r="K36" s="107">
        <f>K33/K27</f>
        <v>0.35714285714285715</v>
      </c>
      <c r="L36" s="107" t="s">
        <v>19</v>
      </c>
      <c r="M36" s="107">
        <f>M33/M27</f>
        <v>1</v>
      </c>
      <c r="N36" s="107" t="s">
        <v>19</v>
      </c>
    </row>
    <row r="37" spans="1:14" x14ac:dyDescent="0.2">
      <c r="A37" s="2" t="s">
        <v>209</v>
      </c>
      <c r="B37" s="2"/>
    </row>
    <row r="38" spans="1:14" x14ac:dyDescent="0.2">
      <c r="A38" s="2" t="s">
        <v>210</v>
      </c>
      <c r="B38" s="2"/>
    </row>
    <row r="39" spans="1:14" x14ac:dyDescent="0.2">
      <c r="A39" s="2" t="s">
        <v>34</v>
      </c>
      <c r="B39" s="2"/>
    </row>
    <row r="40" spans="1:14" x14ac:dyDescent="0.2">
      <c r="A40" s="2" t="s">
        <v>82</v>
      </c>
      <c r="B40" s="2"/>
    </row>
  </sheetData>
  <mergeCells count="44">
    <mergeCell ref="C5:H5"/>
    <mergeCell ref="I5:N5"/>
    <mergeCell ref="C22:H22"/>
    <mergeCell ref="I22:N22"/>
    <mergeCell ref="C36:D36"/>
    <mergeCell ref="E36:F36"/>
    <mergeCell ref="G36:H36"/>
    <mergeCell ref="I36:J36"/>
    <mergeCell ref="K36:L36"/>
    <mergeCell ref="M36:N36"/>
    <mergeCell ref="C35:D35"/>
    <mergeCell ref="E35:F35"/>
    <mergeCell ref="G35:H35"/>
    <mergeCell ref="I35:J35"/>
    <mergeCell ref="K35:L35"/>
    <mergeCell ref="M35:N35"/>
    <mergeCell ref="C34:D34"/>
    <mergeCell ref="E34:F34"/>
    <mergeCell ref="G34:H34"/>
    <mergeCell ref="I34:J34"/>
    <mergeCell ref="K34:L34"/>
    <mergeCell ref="M34:N34"/>
    <mergeCell ref="C19:D19"/>
    <mergeCell ref="E19:F19"/>
    <mergeCell ref="G19:H19"/>
    <mergeCell ref="I19:J19"/>
    <mergeCell ref="K19:L19"/>
    <mergeCell ref="M19:N19"/>
    <mergeCell ref="C18:D18"/>
    <mergeCell ref="E18:F18"/>
    <mergeCell ref="G18:H18"/>
    <mergeCell ref="I18:J18"/>
    <mergeCell ref="K18:L18"/>
    <mergeCell ref="M18:N18"/>
    <mergeCell ref="C4:H4"/>
    <mergeCell ref="I4:N4"/>
    <mergeCell ref="C21:H21"/>
    <mergeCell ref="I21:N21"/>
    <mergeCell ref="C17:D17"/>
    <mergeCell ref="E17:F17"/>
    <mergeCell ref="G17:H17"/>
    <mergeCell ref="I17:J17"/>
    <mergeCell ref="K17:L17"/>
    <mergeCell ref="M17:N17"/>
  </mergeCells>
  <pageMargins left="0.75" right="0.75" top="1" bottom="1" header="0" footer="0"/>
  <pageSetup paperSize="9" orientation="landscape" r:id="rId1"/>
  <headerFooter alignWithMargins="0"/>
  <ignoredErrors>
    <ignoredError sqref="J26:J27 J9:J10 D26:D27 D9:D15 F9:F15 H9:H15 L9:L10 F26:F27 H26:H27 L26:L27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Z40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14" width="9.7109375" style="1" customWidth="1"/>
    <col min="15" max="16" width="7.42578125" style="1" customWidth="1"/>
    <col min="17" max="18" width="9" style="1" customWidth="1"/>
    <col min="19" max="20" width="8.7109375" style="1" customWidth="1"/>
    <col min="21" max="22" width="7.85546875" style="1" customWidth="1"/>
    <col min="23" max="24" width="9.140625" style="1" customWidth="1"/>
    <col min="25" max="25" width="8.5703125" style="1" customWidth="1"/>
    <col min="26" max="26" width="8" style="1" customWidth="1"/>
    <col min="27" max="16384" width="11.42578125" style="1"/>
  </cols>
  <sheetData>
    <row r="1" spans="1:15" x14ac:dyDescent="0.2">
      <c r="A1" s="6" t="s">
        <v>129</v>
      </c>
      <c r="B1" s="6"/>
    </row>
    <row r="2" spans="1:15" x14ac:dyDescent="0.2">
      <c r="A2" s="25" t="s">
        <v>130</v>
      </c>
      <c r="B2" s="25"/>
    </row>
    <row r="4" spans="1:15" ht="19.5" customHeight="1" x14ac:dyDescent="0.2">
      <c r="A4" s="8"/>
      <c r="B4" s="8"/>
      <c r="C4" s="108" t="s">
        <v>2</v>
      </c>
      <c r="D4" s="108"/>
      <c r="E4" s="111"/>
      <c r="F4" s="108"/>
      <c r="G4" s="108"/>
      <c r="H4" s="109"/>
      <c r="I4" s="108" t="s">
        <v>188</v>
      </c>
      <c r="J4" s="112"/>
      <c r="K4" s="112"/>
      <c r="L4" s="112"/>
      <c r="M4" s="112"/>
      <c r="N4" s="112"/>
    </row>
    <row r="5" spans="1:15" ht="19.5" customHeight="1" x14ac:dyDescent="0.2">
      <c r="A5" s="8"/>
      <c r="B5" s="8"/>
      <c r="C5" s="108" t="s">
        <v>187</v>
      </c>
      <c r="D5" s="108"/>
      <c r="E5" s="111"/>
      <c r="F5" s="108"/>
      <c r="G5" s="108"/>
      <c r="H5" s="109"/>
      <c r="I5" s="108" t="s">
        <v>189</v>
      </c>
      <c r="J5" s="112"/>
      <c r="K5" s="112"/>
      <c r="L5" s="112"/>
      <c r="M5" s="112"/>
      <c r="N5" s="112"/>
    </row>
    <row r="6" spans="1:15" ht="19.5" customHeight="1" x14ac:dyDescent="0.2">
      <c r="A6" s="8"/>
      <c r="B6" s="8"/>
      <c r="C6" s="63" t="s">
        <v>6</v>
      </c>
      <c r="D6" s="63"/>
      <c r="E6" s="63" t="s">
        <v>7</v>
      </c>
      <c r="F6" s="63"/>
      <c r="G6" s="63" t="s">
        <v>10</v>
      </c>
      <c r="H6" s="64"/>
      <c r="I6" s="63" t="s">
        <v>6</v>
      </c>
      <c r="J6" s="63"/>
      <c r="K6" s="63" t="s">
        <v>7</v>
      </c>
      <c r="L6" s="63"/>
      <c r="M6" s="63" t="s">
        <v>10</v>
      </c>
      <c r="N6" s="63"/>
      <c r="O6" s="39"/>
    </row>
    <row r="7" spans="1:15" ht="19.5" customHeight="1" x14ac:dyDescent="0.2">
      <c r="A7" s="9"/>
      <c r="B7" s="9"/>
      <c r="C7" s="63" t="s">
        <v>6</v>
      </c>
      <c r="D7" s="63" t="s">
        <v>11</v>
      </c>
      <c r="E7" s="63" t="s">
        <v>211</v>
      </c>
      <c r="F7" s="63" t="s">
        <v>11</v>
      </c>
      <c r="G7" s="63" t="s">
        <v>212</v>
      </c>
      <c r="H7" s="64" t="s">
        <v>11</v>
      </c>
      <c r="I7" s="63" t="s">
        <v>6</v>
      </c>
      <c r="J7" s="63" t="s">
        <v>11</v>
      </c>
      <c r="K7" s="63" t="s">
        <v>211</v>
      </c>
      <c r="L7" s="63" t="s">
        <v>11</v>
      </c>
      <c r="M7" s="63" t="s">
        <v>212</v>
      </c>
      <c r="N7" s="63" t="s">
        <v>11</v>
      </c>
      <c r="O7" s="39"/>
    </row>
    <row r="8" spans="1:15" x14ac:dyDescent="0.2">
      <c r="A8" s="31" t="s">
        <v>6</v>
      </c>
      <c r="B8" s="31" t="s">
        <v>6</v>
      </c>
      <c r="C8" s="48">
        <f>C9+C10</f>
        <v>23206</v>
      </c>
      <c r="D8" s="68">
        <v>1</v>
      </c>
      <c r="E8" s="48">
        <f>E9+E10</f>
        <v>23032</v>
      </c>
      <c r="F8" s="68">
        <f>E8/C8</f>
        <v>0.99250193915366713</v>
      </c>
      <c r="G8" s="48">
        <f>G9+G10</f>
        <v>174</v>
      </c>
      <c r="H8" s="68">
        <f>G8/C8</f>
        <v>7.4980608463328449E-3</v>
      </c>
      <c r="I8" s="70">
        <f>I9+I10</f>
        <v>3979</v>
      </c>
      <c r="J8" s="68">
        <v>1</v>
      </c>
      <c r="K8" s="70">
        <f>K9+K10</f>
        <v>3956</v>
      </c>
      <c r="L8" s="68">
        <v>1</v>
      </c>
      <c r="M8" s="70">
        <f>M9+M10</f>
        <v>23</v>
      </c>
      <c r="N8" s="68">
        <v>1</v>
      </c>
      <c r="O8" s="39"/>
    </row>
    <row r="9" spans="1:15" x14ac:dyDescent="0.2">
      <c r="A9" s="27" t="s">
        <v>20</v>
      </c>
      <c r="B9" s="27" t="s">
        <v>214</v>
      </c>
      <c r="C9" s="69">
        <f>C12+C15</f>
        <v>20672</v>
      </c>
      <c r="D9" s="53">
        <f>C9/C8</f>
        <v>0.89080410238731367</v>
      </c>
      <c r="E9" s="69">
        <f>E12+E15</f>
        <v>20521</v>
      </c>
      <c r="F9" s="53">
        <f>E9/E8</f>
        <v>0.89097777005904832</v>
      </c>
      <c r="G9" s="69">
        <f>G12+G15</f>
        <v>151</v>
      </c>
      <c r="H9" s="53">
        <f>G9/G8</f>
        <v>0.86781609195402298</v>
      </c>
      <c r="I9" s="69">
        <v>2700</v>
      </c>
      <c r="J9" s="53">
        <f>I9/I8</f>
        <v>0.67856245287760741</v>
      </c>
      <c r="K9" s="69">
        <v>2691</v>
      </c>
      <c r="L9" s="53">
        <f>K9/K8</f>
        <v>0.68023255813953487</v>
      </c>
      <c r="M9" s="69">
        <v>9</v>
      </c>
      <c r="N9" s="53">
        <f>M9/M8</f>
        <v>0.39130434782608697</v>
      </c>
      <c r="O9" s="39"/>
    </row>
    <row r="10" spans="1:15" x14ac:dyDescent="0.2">
      <c r="A10" s="27" t="s">
        <v>21</v>
      </c>
      <c r="B10" s="27" t="s">
        <v>213</v>
      </c>
      <c r="C10" s="69">
        <f>C13+C16</f>
        <v>2534</v>
      </c>
      <c r="D10" s="53">
        <f>C10/C8</f>
        <v>0.10919589761268637</v>
      </c>
      <c r="E10" s="69">
        <f>E13+E16</f>
        <v>2511</v>
      </c>
      <c r="F10" s="53">
        <f>E10/E8</f>
        <v>0.10902222994095172</v>
      </c>
      <c r="G10" s="69">
        <f>G13+G16</f>
        <v>23</v>
      </c>
      <c r="H10" s="53">
        <f>G10/G8</f>
        <v>0.13218390804597702</v>
      </c>
      <c r="I10" s="69">
        <v>1279</v>
      </c>
      <c r="J10" s="53">
        <f>I10/I8</f>
        <v>0.32143754712239259</v>
      </c>
      <c r="K10" s="69">
        <v>1265</v>
      </c>
      <c r="L10" s="53">
        <f>K10/K8</f>
        <v>0.31976744186046513</v>
      </c>
      <c r="M10" s="69">
        <v>14</v>
      </c>
      <c r="N10" s="53">
        <f>M10/M8</f>
        <v>0.60869565217391308</v>
      </c>
      <c r="O10" s="39"/>
    </row>
    <row r="11" spans="1:15" x14ac:dyDescent="0.2">
      <c r="A11" s="32" t="s">
        <v>35</v>
      </c>
      <c r="B11" s="32" t="s">
        <v>215</v>
      </c>
      <c r="C11" s="70">
        <f>C12+C13</f>
        <v>16496</v>
      </c>
      <c r="D11" s="57">
        <v>1</v>
      </c>
      <c r="E11" s="70">
        <f>E12+E13</f>
        <v>16359</v>
      </c>
      <c r="F11" s="68">
        <f>E11/C11</f>
        <v>0.99169495635305527</v>
      </c>
      <c r="G11" s="70">
        <f>G12+G13</f>
        <v>137</v>
      </c>
      <c r="H11" s="68">
        <f>G11/C11</f>
        <v>8.3050436469447146E-3</v>
      </c>
      <c r="I11" s="70">
        <f>I12+I13</f>
        <v>2672</v>
      </c>
      <c r="J11" s="57">
        <v>1</v>
      </c>
      <c r="K11" s="70">
        <f>K12+K13</f>
        <v>2654</v>
      </c>
      <c r="L11" s="68">
        <v>1</v>
      </c>
      <c r="M11" s="70">
        <f>M12+M13</f>
        <v>18</v>
      </c>
      <c r="N11" s="68">
        <v>1</v>
      </c>
      <c r="O11" s="39"/>
    </row>
    <row r="12" spans="1:15" s="5" customFormat="1" ht="12.75" customHeight="1" x14ac:dyDescent="0.2">
      <c r="A12" s="27" t="s">
        <v>20</v>
      </c>
      <c r="B12" s="27" t="s">
        <v>214</v>
      </c>
      <c r="C12" s="52">
        <v>14435</v>
      </c>
      <c r="D12" s="53">
        <f>C12/C11</f>
        <v>0.875060620756547</v>
      </c>
      <c r="E12" s="52">
        <v>14313</v>
      </c>
      <c r="F12" s="53">
        <f>E12/E11</f>
        <v>0.87493123051531263</v>
      </c>
      <c r="G12" s="52">
        <v>122</v>
      </c>
      <c r="H12" s="53">
        <f>G12/G11</f>
        <v>0.89051094890510951</v>
      </c>
      <c r="I12" s="52">
        <v>1794</v>
      </c>
      <c r="J12" s="53">
        <f>I12/I11</f>
        <v>0.67140718562874246</v>
      </c>
      <c r="K12" s="52">
        <v>1789</v>
      </c>
      <c r="L12" s="53">
        <f>K12/K11</f>
        <v>0.67407686510926901</v>
      </c>
      <c r="M12" s="52">
        <v>5</v>
      </c>
      <c r="N12" s="53">
        <f>M12/M11</f>
        <v>0.27777777777777779</v>
      </c>
      <c r="O12" s="43"/>
    </row>
    <row r="13" spans="1:15" x14ac:dyDescent="0.2">
      <c r="A13" s="27" t="s">
        <v>21</v>
      </c>
      <c r="B13" s="27" t="s">
        <v>213</v>
      </c>
      <c r="C13" s="52">
        <v>2061</v>
      </c>
      <c r="D13" s="53">
        <f>C13/C11</f>
        <v>0.12493937924345296</v>
      </c>
      <c r="E13" s="52">
        <v>2046</v>
      </c>
      <c r="F13" s="53">
        <f>E13/E11</f>
        <v>0.12506876948468731</v>
      </c>
      <c r="G13" s="52">
        <v>15</v>
      </c>
      <c r="H13" s="53">
        <f>G13/G11</f>
        <v>0.10948905109489052</v>
      </c>
      <c r="I13" s="52">
        <v>878</v>
      </c>
      <c r="J13" s="53">
        <f>I13/I11</f>
        <v>0.32859281437125748</v>
      </c>
      <c r="K13" s="52">
        <v>865</v>
      </c>
      <c r="L13" s="53">
        <f>K13/K11</f>
        <v>0.32592313489073099</v>
      </c>
      <c r="M13" s="52">
        <v>13</v>
      </c>
      <c r="N13" s="53">
        <f>M13/M11</f>
        <v>0.72222222222222221</v>
      </c>
      <c r="O13" s="39"/>
    </row>
    <row r="14" spans="1:15" x14ac:dyDescent="0.2">
      <c r="A14" s="32" t="s">
        <v>36</v>
      </c>
      <c r="B14" s="32" t="s">
        <v>216</v>
      </c>
      <c r="C14" s="70">
        <f>C15+C16</f>
        <v>6710</v>
      </c>
      <c r="D14" s="57">
        <v>1</v>
      </c>
      <c r="E14" s="70">
        <f>E15+E16</f>
        <v>6673</v>
      </c>
      <c r="F14" s="68">
        <f>E14/C14</f>
        <v>0.99448584202682566</v>
      </c>
      <c r="G14" s="70">
        <f>G15+G16</f>
        <v>37</v>
      </c>
      <c r="H14" s="68">
        <f>G14/C14</f>
        <v>5.514157973174367E-3</v>
      </c>
      <c r="I14" s="70">
        <f>I15+I16</f>
        <v>1307</v>
      </c>
      <c r="J14" s="57">
        <v>1</v>
      </c>
      <c r="K14" s="70">
        <f>K15+K16</f>
        <v>1302</v>
      </c>
      <c r="L14" s="68">
        <v>1</v>
      </c>
      <c r="M14" s="70">
        <f>M15+M16</f>
        <v>5</v>
      </c>
      <c r="N14" s="68">
        <v>1</v>
      </c>
      <c r="O14" s="39"/>
    </row>
    <row r="15" spans="1:15" x14ac:dyDescent="0.2">
      <c r="A15" s="27" t="s">
        <v>20</v>
      </c>
      <c r="B15" s="27" t="s">
        <v>214</v>
      </c>
      <c r="C15" s="52">
        <v>6237</v>
      </c>
      <c r="D15" s="53">
        <f>C15/C14</f>
        <v>0.92950819672131146</v>
      </c>
      <c r="E15" s="52">
        <v>6208</v>
      </c>
      <c r="F15" s="53">
        <f>E15/E14</f>
        <v>0.93031619961037015</v>
      </c>
      <c r="G15" s="52">
        <v>29</v>
      </c>
      <c r="H15" s="53">
        <f>G15/G14</f>
        <v>0.78378378378378377</v>
      </c>
      <c r="I15" s="52">
        <v>906</v>
      </c>
      <c r="J15" s="53">
        <f>I15/I14</f>
        <v>0.69319051262433051</v>
      </c>
      <c r="K15" s="52">
        <v>902</v>
      </c>
      <c r="L15" s="53">
        <f>K15/K14</f>
        <v>0.6927803379416283</v>
      </c>
      <c r="M15" s="52">
        <v>4</v>
      </c>
      <c r="N15" s="53">
        <f>M15/M14</f>
        <v>0.8</v>
      </c>
      <c r="O15" s="39"/>
    </row>
    <row r="16" spans="1:15" s="5" customFormat="1" ht="12.75" customHeight="1" x14ac:dyDescent="0.2">
      <c r="A16" s="27" t="s">
        <v>21</v>
      </c>
      <c r="B16" s="27" t="s">
        <v>213</v>
      </c>
      <c r="C16" s="52">
        <v>473</v>
      </c>
      <c r="D16" s="53">
        <f>C16/C14</f>
        <v>7.0491803278688522E-2</v>
      </c>
      <c r="E16" s="52">
        <v>465</v>
      </c>
      <c r="F16" s="53">
        <f>E16/E14</f>
        <v>6.9683800389629846E-2</v>
      </c>
      <c r="G16" s="52">
        <v>8</v>
      </c>
      <c r="H16" s="53">
        <f>G16/G14</f>
        <v>0.21621621621621623</v>
      </c>
      <c r="I16" s="52">
        <v>401</v>
      </c>
      <c r="J16" s="53">
        <f>I16/I14</f>
        <v>0.30680948737566949</v>
      </c>
      <c r="K16" s="52">
        <v>400</v>
      </c>
      <c r="L16" s="53">
        <f>K16/K14</f>
        <v>0.30721966205837176</v>
      </c>
      <c r="M16" s="52">
        <v>1</v>
      </c>
      <c r="N16" s="53">
        <f>M16/M14</f>
        <v>0.2</v>
      </c>
      <c r="O16" s="43"/>
    </row>
    <row r="17" spans="1:26" x14ac:dyDescent="0.2">
      <c r="A17" s="32" t="s">
        <v>45</v>
      </c>
      <c r="B17" s="32" t="s">
        <v>217</v>
      </c>
      <c r="C17" s="113">
        <f>C14/C8</f>
        <v>0.28914935792467467</v>
      </c>
      <c r="D17" s="113" t="s">
        <v>19</v>
      </c>
      <c r="E17" s="113">
        <f>E14/E8</f>
        <v>0.28972733588051408</v>
      </c>
      <c r="F17" s="113" t="s">
        <v>19</v>
      </c>
      <c r="G17" s="113">
        <f>G14/G8</f>
        <v>0.21264367816091953</v>
      </c>
      <c r="H17" s="113" t="s">
        <v>19</v>
      </c>
      <c r="I17" s="113">
        <f>I14/I8</f>
        <v>0.32847449107816035</v>
      </c>
      <c r="J17" s="113" t="s">
        <v>19</v>
      </c>
      <c r="K17" s="113">
        <f>K14/K8</f>
        <v>0.32912032355915066</v>
      </c>
      <c r="L17" s="113" t="s">
        <v>19</v>
      </c>
      <c r="M17" s="113">
        <f>M14/M8</f>
        <v>0.21739130434782608</v>
      </c>
      <c r="N17" s="113" t="s">
        <v>19</v>
      </c>
      <c r="O17" s="39"/>
    </row>
    <row r="18" spans="1:26" x14ac:dyDescent="0.2">
      <c r="A18" s="27" t="s">
        <v>20</v>
      </c>
      <c r="B18" s="27" t="s">
        <v>214</v>
      </c>
      <c r="C18" s="114">
        <f t="shared" ref="C18:E19" si="0">C15/C9</f>
        <v>0.3017124613003096</v>
      </c>
      <c r="D18" s="114" t="s">
        <v>19</v>
      </c>
      <c r="E18" s="114">
        <f t="shared" si="0"/>
        <v>0.30251937040105259</v>
      </c>
      <c r="F18" s="114" t="s">
        <v>19</v>
      </c>
      <c r="G18" s="114">
        <f>G15/G9</f>
        <v>0.19205298013245034</v>
      </c>
      <c r="H18" s="114" t="s">
        <v>19</v>
      </c>
      <c r="I18" s="114">
        <f>I15/I9</f>
        <v>0.33555555555555555</v>
      </c>
      <c r="J18" s="114" t="s">
        <v>19</v>
      </c>
      <c r="K18" s="114">
        <f>K15/K9</f>
        <v>0.33519137866963955</v>
      </c>
      <c r="L18" s="114" t="s">
        <v>19</v>
      </c>
      <c r="M18" s="114">
        <f>M15/M9</f>
        <v>0.44444444444444442</v>
      </c>
      <c r="N18" s="114" t="s">
        <v>19</v>
      </c>
      <c r="O18" s="39"/>
    </row>
    <row r="19" spans="1:26" x14ac:dyDescent="0.2">
      <c r="A19" s="27" t="s">
        <v>21</v>
      </c>
      <c r="B19" s="27" t="s">
        <v>213</v>
      </c>
      <c r="C19" s="114">
        <f t="shared" si="0"/>
        <v>0.1866614048934491</v>
      </c>
      <c r="D19" s="114" t="s">
        <v>19</v>
      </c>
      <c r="E19" s="114">
        <f t="shared" si="0"/>
        <v>0.18518518518518517</v>
      </c>
      <c r="F19" s="114" t="s">
        <v>19</v>
      </c>
      <c r="G19" s="114">
        <f>G16/G10</f>
        <v>0.34782608695652173</v>
      </c>
      <c r="H19" s="114" t="s">
        <v>19</v>
      </c>
      <c r="I19" s="114">
        <f>I16/I10</f>
        <v>0.31352619233776385</v>
      </c>
      <c r="J19" s="114" t="s">
        <v>19</v>
      </c>
      <c r="K19" s="114">
        <f>K16/K10</f>
        <v>0.31620553359683795</v>
      </c>
      <c r="L19" s="114" t="s">
        <v>19</v>
      </c>
      <c r="M19" s="114">
        <f>M16/M10</f>
        <v>7.1428571428571425E-2</v>
      </c>
      <c r="N19" s="114" t="s">
        <v>19</v>
      </c>
      <c r="O19" s="39"/>
    </row>
    <row r="20" spans="1:26" x14ac:dyDescent="0.2">
      <c r="C20" s="62"/>
      <c r="D20" s="4"/>
      <c r="E20" s="62"/>
      <c r="F20" s="4"/>
      <c r="G20" s="62"/>
      <c r="H20" s="4"/>
      <c r="I20" s="62"/>
      <c r="J20" s="4"/>
      <c r="K20" s="62"/>
      <c r="L20" s="4"/>
      <c r="M20" s="62"/>
      <c r="N20" s="4"/>
      <c r="O20" s="40"/>
      <c r="P20" s="4"/>
      <c r="Q20" s="19"/>
      <c r="R20" s="4"/>
      <c r="S20" s="19"/>
      <c r="T20" s="4"/>
      <c r="U20" s="19"/>
      <c r="V20" s="4"/>
      <c r="W20" s="21"/>
      <c r="X20" s="4"/>
      <c r="Y20" s="19"/>
      <c r="Z20" s="4"/>
    </row>
    <row r="21" spans="1:26" ht="19.5" customHeight="1" x14ac:dyDescent="0.2">
      <c r="A21" s="8"/>
      <c r="B21" s="8"/>
      <c r="C21" s="108" t="s">
        <v>3</v>
      </c>
      <c r="D21" s="108"/>
      <c r="E21" s="108"/>
      <c r="F21" s="108"/>
      <c r="G21" s="108"/>
      <c r="H21" s="109"/>
      <c r="I21" s="108" t="s">
        <v>4</v>
      </c>
      <c r="J21" s="108"/>
      <c r="K21" s="108"/>
      <c r="L21" s="108"/>
      <c r="M21" s="108"/>
      <c r="N21" s="108"/>
      <c r="O21" s="39"/>
    </row>
    <row r="22" spans="1:26" ht="19.5" customHeight="1" x14ac:dyDescent="0.2">
      <c r="A22" s="8"/>
      <c r="B22" s="8"/>
      <c r="C22" s="108" t="s">
        <v>3</v>
      </c>
      <c r="D22" s="108"/>
      <c r="E22" s="108"/>
      <c r="F22" s="108"/>
      <c r="G22" s="108"/>
      <c r="H22" s="109"/>
      <c r="I22" s="108" t="s">
        <v>4</v>
      </c>
      <c r="J22" s="108"/>
      <c r="K22" s="108"/>
      <c r="L22" s="108"/>
      <c r="M22" s="108"/>
      <c r="N22" s="108"/>
      <c r="O22" s="39"/>
    </row>
    <row r="23" spans="1:26" ht="19.5" customHeight="1" x14ac:dyDescent="0.2">
      <c r="A23" s="8"/>
      <c r="B23" s="8"/>
      <c r="C23" s="63" t="s">
        <v>6</v>
      </c>
      <c r="D23" s="63"/>
      <c r="E23" s="63" t="s">
        <v>7</v>
      </c>
      <c r="F23" s="63"/>
      <c r="G23" s="63" t="s">
        <v>10</v>
      </c>
      <c r="H23" s="64"/>
      <c r="I23" s="63" t="s">
        <v>6</v>
      </c>
      <c r="J23" s="63"/>
      <c r="K23" s="63" t="s">
        <v>7</v>
      </c>
      <c r="L23" s="63"/>
      <c r="M23" s="63" t="s">
        <v>10</v>
      </c>
      <c r="N23" s="63"/>
      <c r="O23" s="39"/>
    </row>
    <row r="24" spans="1:26" ht="19.5" customHeight="1" x14ac:dyDescent="0.2">
      <c r="A24" s="9"/>
      <c r="B24" s="9"/>
      <c r="C24" s="63" t="s">
        <v>6</v>
      </c>
      <c r="D24" s="63" t="s">
        <v>11</v>
      </c>
      <c r="E24" s="63" t="s">
        <v>211</v>
      </c>
      <c r="F24" s="63" t="s">
        <v>11</v>
      </c>
      <c r="G24" s="63" t="s">
        <v>212</v>
      </c>
      <c r="H24" s="64" t="s">
        <v>11</v>
      </c>
      <c r="I24" s="63" t="s">
        <v>6</v>
      </c>
      <c r="J24" s="63" t="s">
        <v>11</v>
      </c>
      <c r="K24" s="63" t="s">
        <v>211</v>
      </c>
      <c r="L24" s="63" t="s">
        <v>11</v>
      </c>
      <c r="M24" s="63" t="s">
        <v>212</v>
      </c>
      <c r="N24" s="63" t="s">
        <v>11</v>
      </c>
      <c r="O24" s="39"/>
    </row>
    <row r="25" spans="1:26" x14ac:dyDescent="0.2">
      <c r="A25" s="31" t="s">
        <v>6</v>
      </c>
      <c r="B25" s="31" t="s">
        <v>6</v>
      </c>
      <c r="C25" s="48">
        <f>C26+C27</f>
        <v>1895</v>
      </c>
      <c r="D25" s="68">
        <v>1</v>
      </c>
      <c r="E25" s="48">
        <f>SUM(E26+E27)</f>
        <v>1882</v>
      </c>
      <c r="F25" s="68">
        <v>1</v>
      </c>
      <c r="G25" s="48">
        <f>SUM(G26+G27)</f>
        <v>13</v>
      </c>
      <c r="H25" s="68">
        <v>1</v>
      </c>
      <c r="I25" s="61">
        <f>I26+I27</f>
        <v>281</v>
      </c>
      <c r="J25" s="65">
        <v>1</v>
      </c>
      <c r="K25" s="61">
        <f>K26+K27</f>
        <v>281</v>
      </c>
      <c r="L25" s="65">
        <v>1</v>
      </c>
      <c r="M25" s="61">
        <f>M26+M27</f>
        <v>0</v>
      </c>
      <c r="N25" s="65" t="s">
        <v>19</v>
      </c>
      <c r="O25" s="39"/>
    </row>
    <row r="26" spans="1:26" x14ac:dyDescent="0.2">
      <c r="A26" s="27" t="s">
        <v>20</v>
      </c>
      <c r="B26" s="27" t="s">
        <v>214</v>
      </c>
      <c r="C26" s="69">
        <v>1428</v>
      </c>
      <c r="D26" s="53">
        <f>C26/C25</f>
        <v>0.75356200527704487</v>
      </c>
      <c r="E26" s="69">
        <v>1423</v>
      </c>
      <c r="F26" s="53">
        <f>E26/E25</f>
        <v>0.75611052072263552</v>
      </c>
      <c r="G26" s="69">
        <v>5</v>
      </c>
      <c r="H26" s="53">
        <f>G26/G25</f>
        <v>0.38461538461538464</v>
      </c>
      <c r="I26" s="66">
        <v>200</v>
      </c>
      <c r="J26" s="55">
        <f>I26/I25</f>
        <v>0.71174377224199292</v>
      </c>
      <c r="K26" s="66">
        <v>200</v>
      </c>
      <c r="L26" s="55">
        <f>K26/K25</f>
        <v>0.71174377224199292</v>
      </c>
      <c r="M26" s="66">
        <v>0</v>
      </c>
      <c r="N26" s="55" t="s">
        <v>19</v>
      </c>
      <c r="O26" s="39"/>
    </row>
    <row r="27" spans="1:26" x14ac:dyDescent="0.2">
      <c r="A27" s="27" t="s">
        <v>21</v>
      </c>
      <c r="B27" s="27" t="s">
        <v>213</v>
      </c>
      <c r="C27" s="69">
        <v>467</v>
      </c>
      <c r="D27" s="53">
        <f>C27/C25</f>
        <v>0.24643799472295513</v>
      </c>
      <c r="E27" s="69">
        <v>459</v>
      </c>
      <c r="F27" s="53">
        <f>E27/E25</f>
        <v>0.24388947927736451</v>
      </c>
      <c r="G27" s="69">
        <v>8</v>
      </c>
      <c r="H27" s="53">
        <f>G27/G25</f>
        <v>0.61538461538461542</v>
      </c>
      <c r="I27" s="66">
        <v>81</v>
      </c>
      <c r="J27" s="55">
        <f>I27/I25</f>
        <v>0.28825622775800713</v>
      </c>
      <c r="K27" s="66">
        <v>81</v>
      </c>
      <c r="L27" s="55">
        <f>K27/K25</f>
        <v>0.28825622775800713</v>
      </c>
      <c r="M27" s="66">
        <v>0</v>
      </c>
      <c r="N27" s="55" t="s">
        <v>19</v>
      </c>
      <c r="O27" s="39"/>
    </row>
    <row r="28" spans="1:26" x14ac:dyDescent="0.2">
      <c r="A28" s="32" t="s">
        <v>35</v>
      </c>
      <c r="B28" s="32" t="s">
        <v>215</v>
      </c>
      <c r="C28" s="70">
        <f>SUM(C29+C30)</f>
        <v>1360</v>
      </c>
      <c r="D28" s="57">
        <v>1</v>
      </c>
      <c r="E28" s="70">
        <f>SUM(E29+E30)</f>
        <v>1348</v>
      </c>
      <c r="F28" s="68">
        <v>1</v>
      </c>
      <c r="G28" s="70">
        <f>SUM(G29+G30)</f>
        <v>12</v>
      </c>
      <c r="H28" s="68">
        <v>1</v>
      </c>
      <c r="I28" s="61">
        <f>I29+I30</f>
        <v>149</v>
      </c>
      <c r="J28" s="58">
        <v>1</v>
      </c>
      <c r="K28" s="61">
        <f>K29+K30</f>
        <v>149</v>
      </c>
      <c r="L28" s="65">
        <v>1</v>
      </c>
      <c r="M28" s="61">
        <f>M29+M30</f>
        <v>0</v>
      </c>
      <c r="N28" s="65" t="s">
        <v>19</v>
      </c>
      <c r="O28" s="39"/>
    </row>
    <row r="29" spans="1:26" ht="12.75" customHeight="1" x14ac:dyDescent="0.2">
      <c r="A29" s="27" t="s">
        <v>20</v>
      </c>
      <c r="B29" s="27" t="s">
        <v>214</v>
      </c>
      <c r="C29" s="52">
        <v>1008</v>
      </c>
      <c r="D29" s="53">
        <f>C29/C28</f>
        <v>0.74117647058823533</v>
      </c>
      <c r="E29" s="52">
        <v>1004</v>
      </c>
      <c r="F29" s="53">
        <f>E29/E28</f>
        <v>0.74480712166172103</v>
      </c>
      <c r="G29" s="52">
        <v>4</v>
      </c>
      <c r="H29" s="53">
        <v>0.83333333333333337</v>
      </c>
      <c r="I29" s="54">
        <v>98</v>
      </c>
      <c r="J29" s="55">
        <f>I29/I28</f>
        <v>0.65771812080536918</v>
      </c>
      <c r="K29" s="54">
        <v>98</v>
      </c>
      <c r="L29" s="55">
        <f>K29/K28</f>
        <v>0.65771812080536918</v>
      </c>
      <c r="M29" s="54">
        <v>0</v>
      </c>
      <c r="N29" s="55" t="s">
        <v>19</v>
      </c>
      <c r="O29" s="39"/>
    </row>
    <row r="30" spans="1:26" x14ac:dyDescent="0.2">
      <c r="A30" s="27" t="s">
        <v>21</v>
      </c>
      <c r="B30" s="27" t="s">
        <v>213</v>
      </c>
      <c r="C30" s="52">
        <v>352</v>
      </c>
      <c r="D30" s="53">
        <f>C30/C28</f>
        <v>0.25882352941176473</v>
      </c>
      <c r="E30" s="52">
        <v>344</v>
      </c>
      <c r="F30" s="53">
        <f>E30/E28</f>
        <v>0.25519287833827892</v>
      </c>
      <c r="G30" s="52">
        <v>8</v>
      </c>
      <c r="H30" s="53">
        <v>0.16666666666666666</v>
      </c>
      <c r="I30" s="54">
        <v>51</v>
      </c>
      <c r="J30" s="55">
        <f>I30/I28</f>
        <v>0.34228187919463088</v>
      </c>
      <c r="K30" s="54">
        <v>51</v>
      </c>
      <c r="L30" s="55">
        <f>K30/K28</f>
        <v>0.34228187919463088</v>
      </c>
      <c r="M30" s="54">
        <v>0</v>
      </c>
      <c r="N30" s="55" t="s">
        <v>19</v>
      </c>
      <c r="O30" s="39"/>
    </row>
    <row r="31" spans="1:26" x14ac:dyDescent="0.2">
      <c r="A31" s="32" t="s">
        <v>36</v>
      </c>
      <c r="B31" s="32" t="s">
        <v>216</v>
      </c>
      <c r="C31" s="70">
        <f>SUM(C32+C33)</f>
        <v>535</v>
      </c>
      <c r="D31" s="57">
        <v>1</v>
      </c>
      <c r="E31" s="70">
        <f>SUM(E32+E33)</f>
        <v>534</v>
      </c>
      <c r="F31" s="57">
        <v>1</v>
      </c>
      <c r="G31" s="70">
        <f>SUM(G32+G33)</f>
        <v>1</v>
      </c>
      <c r="H31" s="68">
        <v>1</v>
      </c>
      <c r="I31" s="61">
        <f>I32+I33</f>
        <v>132</v>
      </c>
      <c r="J31" s="58">
        <v>1</v>
      </c>
      <c r="K31" s="61">
        <f>K32+K33</f>
        <v>132</v>
      </c>
      <c r="L31" s="65">
        <v>1</v>
      </c>
      <c r="M31" s="61">
        <f>M32+M33</f>
        <v>0</v>
      </c>
      <c r="N31" s="71" t="s">
        <v>19</v>
      </c>
      <c r="O31" s="39"/>
    </row>
    <row r="32" spans="1:26" x14ac:dyDescent="0.2">
      <c r="A32" s="27" t="s">
        <v>20</v>
      </c>
      <c r="B32" s="27" t="s">
        <v>214</v>
      </c>
      <c r="C32" s="52">
        <v>420</v>
      </c>
      <c r="D32" s="53">
        <f>C32/C31</f>
        <v>0.78504672897196259</v>
      </c>
      <c r="E32" s="52">
        <v>419</v>
      </c>
      <c r="F32" s="53">
        <f>E32/E31</f>
        <v>0.78464419475655434</v>
      </c>
      <c r="G32" s="52">
        <v>1</v>
      </c>
      <c r="H32" s="53">
        <v>0</v>
      </c>
      <c r="I32" s="54">
        <v>102</v>
      </c>
      <c r="J32" s="55">
        <f>I32/I31</f>
        <v>0.77272727272727271</v>
      </c>
      <c r="K32" s="54">
        <v>102</v>
      </c>
      <c r="L32" s="55">
        <f>K32/K31</f>
        <v>0.77272727272727271</v>
      </c>
      <c r="M32" s="54">
        <v>0</v>
      </c>
      <c r="N32" s="4" t="s">
        <v>19</v>
      </c>
      <c r="O32" s="39"/>
    </row>
    <row r="33" spans="1:15" ht="12.75" customHeight="1" x14ac:dyDescent="0.2">
      <c r="A33" s="27" t="s">
        <v>21</v>
      </c>
      <c r="B33" s="27" t="s">
        <v>213</v>
      </c>
      <c r="C33" s="52">
        <v>115</v>
      </c>
      <c r="D33" s="53">
        <f>C33/C31</f>
        <v>0.21495327102803738</v>
      </c>
      <c r="E33" s="52">
        <v>115</v>
      </c>
      <c r="F33" s="53">
        <f>E33/E31</f>
        <v>0.21535580524344569</v>
      </c>
      <c r="G33" s="52">
        <v>0</v>
      </c>
      <c r="H33" s="53">
        <v>1</v>
      </c>
      <c r="I33" s="54">
        <v>30</v>
      </c>
      <c r="J33" s="55">
        <f>I33/I31</f>
        <v>0.22727272727272727</v>
      </c>
      <c r="K33" s="54">
        <v>30</v>
      </c>
      <c r="L33" s="55">
        <f>K33/K31</f>
        <v>0.22727272727272727</v>
      </c>
      <c r="M33" s="54">
        <v>0</v>
      </c>
      <c r="N33" s="4" t="s">
        <v>19</v>
      </c>
      <c r="O33" s="39"/>
    </row>
    <row r="34" spans="1:15" x14ac:dyDescent="0.2">
      <c r="A34" s="32" t="s">
        <v>45</v>
      </c>
      <c r="B34" s="32" t="s">
        <v>217</v>
      </c>
      <c r="C34" s="113">
        <f>C31/C25</f>
        <v>0.28232189973614774</v>
      </c>
      <c r="D34" s="113" t="s">
        <v>19</v>
      </c>
      <c r="E34" s="113">
        <f>E31/E25</f>
        <v>0.28374070138150903</v>
      </c>
      <c r="F34" s="113" t="s">
        <v>19</v>
      </c>
      <c r="G34" s="113">
        <f>G31/G25</f>
        <v>7.6923076923076927E-2</v>
      </c>
      <c r="H34" s="113" t="s">
        <v>19</v>
      </c>
      <c r="I34" s="110">
        <f>I31/I25</f>
        <v>0.46975088967971529</v>
      </c>
      <c r="J34" s="110" t="s">
        <v>19</v>
      </c>
      <c r="K34" s="110">
        <f>K31/K25</f>
        <v>0.46975088967971529</v>
      </c>
      <c r="L34" s="110" t="s">
        <v>19</v>
      </c>
      <c r="M34" s="110" t="s">
        <v>19</v>
      </c>
      <c r="N34" s="110" t="s">
        <v>19</v>
      </c>
      <c r="O34" s="39"/>
    </row>
    <row r="35" spans="1:15" x14ac:dyDescent="0.2">
      <c r="A35" s="27" t="s">
        <v>20</v>
      </c>
      <c r="B35" s="27" t="s">
        <v>214</v>
      </c>
      <c r="C35" s="114">
        <f t="shared" ref="C35:E36" si="1">C32/C26</f>
        <v>0.29411764705882354</v>
      </c>
      <c r="D35" s="114" t="s">
        <v>19</v>
      </c>
      <c r="E35" s="114">
        <f t="shared" si="1"/>
        <v>0.29444834855938157</v>
      </c>
      <c r="F35" s="114" t="s">
        <v>19</v>
      </c>
      <c r="G35" s="114">
        <f>G32/G26</f>
        <v>0.2</v>
      </c>
      <c r="H35" s="114" t="s">
        <v>19</v>
      </c>
      <c r="I35" s="107">
        <f>I32/I26</f>
        <v>0.51</v>
      </c>
      <c r="J35" s="107" t="s">
        <v>19</v>
      </c>
      <c r="K35" s="107">
        <f>K32/K26</f>
        <v>0.51</v>
      </c>
      <c r="L35" s="107" t="s">
        <v>19</v>
      </c>
      <c r="M35" s="107" t="s">
        <v>19</v>
      </c>
      <c r="N35" s="107" t="s">
        <v>19</v>
      </c>
      <c r="O35" s="39"/>
    </row>
    <row r="36" spans="1:15" x14ac:dyDescent="0.2">
      <c r="A36" s="27" t="s">
        <v>21</v>
      </c>
      <c r="B36" s="27" t="s">
        <v>213</v>
      </c>
      <c r="C36" s="114">
        <f t="shared" si="1"/>
        <v>0.24625267665952891</v>
      </c>
      <c r="D36" s="114" t="s">
        <v>19</v>
      </c>
      <c r="E36" s="114">
        <f t="shared" si="1"/>
        <v>0.25054466230936817</v>
      </c>
      <c r="F36" s="114" t="s">
        <v>19</v>
      </c>
      <c r="G36" s="114">
        <f>G33/G27</f>
        <v>0</v>
      </c>
      <c r="H36" s="114" t="s">
        <v>19</v>
      </c>
      <c r="I36" s="107">
        <f>I33/I27</f>
        <v>0.37037037037037035</v>
      </c>
      <c r="J36" s="107" t="s">
        <v>19</v>
      </c>
      <c r="K36" s="107">
        <f>K33/K27</f>
        <v>0.37037037037037035</v>
      </c>
      <c r="L36" s="107" t="s">
        <v>19</v>
      </c>
      <c r="M36" s="107" t="s">
        <v>19</v>
      </c>
      <c r="N36" s="107" t="s">
        <v>19</v>
      </c>
      <c r="O36" s="39"/>
    </row>
    <row r="37" spans="1:15" x14ac:dyDescent="0.2">
      <c r="A37" s="2" t="s">
        <v>209</v>
      </c>
      <c r="B37" s="2"/>
    </row>
    <row r="38" spans="1:15" x14ac:dyDescent="0.2">
      <c r="A38" s="2" t="s">
        <v>210</v>
      </c>
      <c r="B38" s="2"/>
    </row>
    <row r="39" spans="1:15" x14ac:dyDescent="0.2">
      <c r="A39" s="2" t="s">
        <v>34</v>
      </c>
      <c r="B39" s="2"/>
    </row>
    <row r="40" spans="1:15" x14ac:dyDescent="0.2">
      <c r="A40" s="2" t="s">
        <v>82</v>
      </c>
      <c r="B40" s="2"/>
    </row>
  </sheetData>
  <mergeCells count="44">
    <mergeCell ref="C4:H4"/>
    <mergeCell ref="I4:N4"/>
    <mergeCell ref="C5:H5"/>
    <mergeCell ref="I5:N5"/>
    <mergeCell ref="C22:H22"/>
    <mergeCell ref="I22:N22"/>
    <mergeCell ref="C19:D19"/>
    <mergeCell ref="E19:F19"/>
    <mergeCell ref="G19:H19"/>
    <mergeCell ref="I19:J19"/>
    <mergeCell ref="C36:D36"/>
    <mergeCell ref="E36:F36"/>
    <mergeCell ref="G36:H36"/>
    <mergeCell ref="I36:J36"/>
    <mergeCell ref="K36:L36"/>
    <mergeCell ref="M36:N36"/>
    <mergeCell ref="C35:D35"/>
    <mergeCell ref="E35:F35"/>
    <mergeCell ref="G35:H35"/>
    <mergeCell ref="I35:J35"/>
    <mergeCell ref="K35:L35"/>
    <mergeCell ref="M35:N35"/>
    <mergeCell ref="C34:D34"/>
    <mergeCell ref="E34:F34"/>
    <mergeCell ref="G34:H34"/>
    <mergeCell ref="I34:J34"/>
    <mergeCell ref="K34:L34"/>
    <mergeCell ref="M34:N34"/>
    <mergeCell ref="C18:D18"/>
    <mergeCell ref="E18:F18"/>
    <mergeCell ref="G18:H18"/>
    <mergeCell ref="I18:J18"/>
    <mergeCell ref="K18:L18"/>
    <mergeCell ref="M18:N18"/>
    <mergeCell ref="C21:H21"/>
    <mergeCell ref="I21:N21"/>
    <mergeCell ref="C17:D17"/>
    <mergeCell ref="E17:F17"/>
    <mergeCell ref="G17:H17"/>
    <mergeCell ref="I17:J17"/>
    <mergeCell ref="K17:L17"/>
    <mergeCell ref="M17:N17"/>
    <mergeCell ref="K19:L19"/>
    <mergeCell ref="M19:N19"/>
  </mergeCells>
  <pageMargins left="0.75" right="0.75" top="1" bottom="1" header="0" footer="0"/>
  <pageSetup paperSize="9" orientation="landscape" r:id="rId1"/>
  <headerFooter alignWithMargins="0"/>
  <ignoredErrors>
    <ignoredError sqref="J26:J27 D26:D27 J9:J10 D9:D10 F8:F10 F11:F16 H9:H15 L9:L10 L26:L27 H26:H27 F26:F27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Z40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14" width="9.7109375" style="1" customWidth="1"/>
    <col min="15" max="16" width="7.42578125" style="1" customWidth="1"/>
    <col min="17" max="18" width="9" style="1" customWidth="1"/>
    <col min="19" max="20" width="8.7109375" style="1" customWidth="1"/>
    <col min="21" max="22" width="7.85546875" style="1" customWidth="1"/>
    <col min="23" max="24" width="9.140625" style="1" customWidth="1"/>
    <col min="25" max="25" width="8.5703125" style="1" customWidth="1"/>
    <col min="26" max="26" width="8" style="1" customWidth="1"/>
    <col min="27" max="16384" width="11.42578125" style="1"/>
  </cols>
  <sheetData>
    <row r="1" spans="1:14" x14ac:dyDescent="0.2">
      <c r="A1" s="6" t="s">
        <v>131</v>
      </c>
      <c r="B1" s="6"/>
    </row>
    <row r="2" spans="1:14" x14ac:dyDescent="0.2">
      <c r="A2" s="25" t="s">
        <v>132</v>
      </c>
      <c r="B2" s="25"/>
    </row>
    <row r="4" spans="1:14" ht="19.5" customHeight="1" x14ac:dyDescent="0.2">
      <c r="A4" s="8"/>
      <c r="B4" s="8"/>
      <c r="C4" s="108" t="s">
        <v>2</v>
      </c>
      <c r="D4" s="108"/>
      <c r="E4" s="111"/>
      <c r="F4" s="108"/>
      <c r="G4" s="108"/>
      <c r="H4" s="109"/>
      <c r="I4" s="108" t="s">
        <v>188</v>
      </c>
      <c r="J4" s="112"/>
      <c r="K4" s="112"/>
      <c r="L4" s="112"/>
      <c r="M4" s="112"/>
      <c r="N4" s="112"/>
    </row>
    <row r="5" spans="1:14" ht="19.5" customHeight="1" x14ac:dyDescent="0.2">
      <c r="A5" s="8"/>
      <c r="B5" s="8"/>
      <c r="C5" s="108" t="s">
        <v>187</v>
      </c>
      <c r="D5" s="108"/>
      <c r="E5" s="111"/>
      <c r="F5" s="108"/>
      <c r="G5" s="108"/>
      <c r="H5" s="109"/>
      <c r="I5" s="108" t="s">
        <v>189</v>
      </c>
      <c r="J5" s="112"/>
      <c r="K5" s="112"/>
      <c r="L5" s="112"/>
      <c r="M5" s="112"/>
      <c r="N5" s="112"/>
    </row>
    <row r="6" spans="1:14" ht="19.5" customHeight="1" x14ac:dyDescent="0.2">
      <c r="A6" s="8"/>
      <c r="B6" s="8"/>
      <c r="C6" s="63" t="s">
        <v>6</v>
      </c>
      <c r="D6" s="63"/>
      <c r="E6" s="63" t="s">
        <v>7</v>
      </c>
      <c r="F6" s="63"/>
      <c r="G6" s="63" t="s">
        <v>10</v>
      </c>
      <c r="H6" s="64"/>
      <c r="I6" s="63" t="s">
        <v>6</v>
      </c>
      <c r="J6" s="63"/>
      <c r="K6" s="63" t="s">
        <v>7</v>
      </c>
      <c r="L6" s="63"/>
      <c r="M6" s="63" t="s">
        <v>10</v>
      </c>
      <c r="N6" s="63"/>
    </row>
    <row r="7" spans="1:14" ht="19.5" customHeight="1" x14ac:dyDescent="0.2">
      <c r="A7" s="9"/>
      <c r="B7" s="9"/>
      <c r="C7" s="63" t="s">
        <v>6</v>
      </c>
      <c r="D7" s="63" t="s">
        <v>11</v>
      </c>
      <c r="E7" s="63" t="s">
        <v>211</v>
      </c>
      <c r="F7" s="63" t="s">
        <v>11</v>
      </c>
      <c r="G7" s="63" t="s">
        <v>212</v>
      </c>
      <c r="H7" s="64" t="s">
        <v>11</v>
      </c>
      <c r="I7" s="63" t="s">
        <v>6</v>
      </c>
      <c r="J7" s="63" t="s">
        <v>11</v>
      </c>
      <c r="K7" s="63" t="s">
        <v>211</v>
      </c>
      <c r="L7" s="63" t="s">
        <v>11</v>
      </c>
      <c r="M7" s="63" t="s">
        <v>212</v>
      </c>
      <c r="N7" s="63" t="s">
        <v>11</v>
      </c>
    </row>
    <row r="8" spans="1:14" x14ac:dyDescent="0.2">
      <c r="A8" s="31" t="s">
        <v>6</v>
      </c>
      <c r="B8" s="31" t="s">
        <v>6</v>
      </c>
      <c r="C8" s="48">
        <f>C9+C10</f>
        <v>25284</v>
      </c>
      <c r="D8" s="68">
        <v>1</v>
      </c>
      <c r="E8" s="48">
        <f>E10+E9</f>
        <v>25175</v>
      </c>
      <c r="F8" s="68">
        <v>1</v>
      </c>
      <c r="G8" s="48">
        <f>G9+G10</f>
        <v>109</v>
      </c>
      <c r="H8" s="68">
        <v>1</v>
      </c>
      <c r="I8" s="48">
        <f>SUM(I9+I10)</f>
        <v>3852</v>
      </c>
      <c r="J8" s="68">
        <v>1</v>
      </c>
      <c r="K8" s="48">
        <f>SUM(K9+K10)</f>
        <v>3841</v>
      </c>
      <c r="L8" s="68">
        <v>1</v>
      </c>
      <c r="M8" s="48">
        <f>SUM(M9+M10)</f>
        <v>11</v>
      </c>
      <c r="N8" s="68">
        <v>1</v>
      </c>
    </row>
    <row r="9" spans="1:14" x14ac:dyDescent="0.2">
      <c r="A9" s="27" t="s">
        <v>20</v>
      </c>
      <c r="B9" s="27" t="s">
        <v>214</v>
      </c>
      <c r="C9" s="69">
        <f>C12+C15</f>
        <v>22883</v>
      </c>
      <c r="D9" s="53">
        <f>C9/C8</f>
        <v>0.90503875968992253</v>
      </c>
      <c r="E9" s="69">
        <f>E12+E15</f>
        <v>22789</v>
      </c>
      <c r="F9" s="53">
        <f>E9/E8</f>
        <v>0.90522343594836152</v>
      </c>
      <c r="G9" s="69">
        <f>G12+G15</f>
        <v>94</v>
      </c>
      <c r="H9" s="53">
        <f>G9/G8</f>
        <v>0.86238532110091748</v>
      </c>
      <c r="I9" s="69">
        <v>2573</v>
      </c>
      <c r="J9" s="53">
        <f>I9/I8</f>
        <v>0.66796469366562827</v>
      </c>
      <c r="K9" s="69">
        <v>2567</v>
      </c>
      <c r="L9" s="53">
        <f>K9/K8</f>
        <v>0.6683155428273887</v>
      </c>
      <c r="M9" s="69">
        <v>6</v>
      </c>
      <c r="N9" s="53">
        <f>M9/M8</f>
        <v>0.54545454545454541</v>
      </c>
    </row>
    <row r="10" spans="1:14" x14ac:dyDescent="0.2">
      <c r="A10" s="27" t="s">
        <v>21</v>
      </c>
      <c r="B10" s="27" t="s">
        <v>213</v>
      </c>
      <c r="C10" s="69">
        <f>C13+C16</f>
        <v>2401</v>
      </c>
      <c r="D10" s="53">
        <f>C10/C8</f>
        <v>9.4961240310077522E-2</v>
      </c>
      <c r="E10" s="69">
        <f>E13+E16</f>
        <v>2386</v>
      </c>
      <c r="F10" s="53">
        <f>E10/E8</f>
        <v>9.4776564051638534E-2</v>
      </c>
      <c r="G10" s="69">
        <f>G13+G16</f>
        <v>15</v>
      </c>
      <c r="H10" s="53">
        <f>G10/G8</f>
        <v>0.13761467889908258</v>
      </c>
      <c r="I10" s="69">
        <v>1279</v>
      </c>
      <c r="J10" s="53">
        <f>I10/I8</f>
        <v>0.33203530633437178</v>
      </c>
      <c r="K10" s="69">
        <v>1274</v>
      </c>
      <c r="L10" s="53">
        <f>K10/K8</f>
        <v>0.3316844571726113</v>
      </c>
      <c r="M10" s="69">
        <v>5</v>
      </c>
      <c r="N10" s="53">
        <f>M10/M8</f>
        <v>0.45454545454545453</v>
      </c>
    </row>
    <row r="11" spans="1:14" x14ac:dyDescent="0.2">
      <c r="A11" s="32" t="s">
        <v>35</v>
      </c>
      <c r="B11" s="32" t="s">
        <v>215</v>
      </c>
      <c r="C11" s="70">
        <f>C12+C13</f>
        <v>17633</v>
      </c>
      <c r="D11" s="68">
        <v>1</v>
      </c>
      <c r="E11" s="70">
        <f>E12+E13</f>
        <v>17564</v>
      </c>
      <c r="F11" s="68">
        <v>1</v>
      </c>
      <c r="G11" s="70">
        <f>G12+G13</f>
        <v>69</v>
      </c>
      <c r="H11" s="68">
        <v>1</v>
      </c>
      <c r="I11" s="70">
        <f>SUM(I12+I13)</f>
        <v>2546</v>
      </c>
      <c r="J11" s="68">
        <v>1</v>
      </c>
      <c r="K11" s="70">
        <f>SUM(K12+K13)</f>
        <v>2538</v>
      </c>
      <c r="L11" s="68">
        <v>1</v>
      </c>
      <c r="M11" s="70">
        <f>SUM(M12+M13)</f>
        <v>8</v>
      </c>
      <c r="N11" s="68">
        <v>1</v>
      </c>
    </row>
    <row r="12" spans="1:14" s="5" customFormat="1" ht="12.75" customHeight="1" x14ac:dyDescent="0.2">
      <c r="A12" s="27" t="s">
        <v>20</v>
      </c>
      <c r="B12" s="27" t="s">
        <v>214</v>
      </c>
      <c r="C12" s="52">
        <v>15695</v>
      </c>
      <c r="D12" s="53">
        <f>C12/C11</f>
        <v>0.89009244031078094</v>
      </c>
      <c r="E12" s="52">
        <v>15640</v>
      </c>
      <c r="F12" s="53">
        <f>E12/E11</f>
        <v>0.89045775449783648</v>
      </c>
      <c r="G12" s="52">
        <v>55</v>
      </c>
      <c r="H12" s="53">
        <f>G12/G11</f>
        <v>0.79710144927536231</v>
      </c>
      <c r="I12" s="52">
        <v>1690</v>
      </c>
      <c r="J12" s="53">
        <f>I12/I11</f>
        <v>0.66378633150039279</v>
      </c>
      <c r="K12" s="52">
        <v>1686</v>
      </c>
      <c r="L12" s="53">
        <f>K12/K11</f>
        <v>0.6643026004728132</v>
      </c>
      <c r="M12" s="52">
        <v>4</v>
      </c>
      <c r="N12" s="53">
        <f>M12/M11</f>
        <v>0.5</v>
      </c>
    </row>
    <row r="13" spans="1:14" x14ac:dyDescent="0.2">
      <c r="A13" s="27" t="s">
        <v>21</v>
      </c>
      <c r="B13" s="27" t="s">
        <v>213</v>
      </c>
      <c r="C13" s="52">
        <v>1938</v>
      </c>
      <c r="D13" s="53">
        <f>C13/C11</f>
        <v>0.10990755968921907</v>
      </c>
      <c r="E13" s="52">
        <v>1924</v>
      </c>
      <c r="F13" s="53">
        <f>E13/E11</f>
        <v>0.10954224550216352</v>
      </c>
      <c r="G13" s="52">
        <v>14</v>
      </c>
      <c r="H13" s="53">
        <f>G13/G11</f>
        <v>0.20289855072463769</v>
      </c>
      <c r="I13" s="52">
        <v>856</v>
      </c>
      <c r="J13" s="53">
        <f>I13/I11</f>
        <v>0.33621366849960721</v>
      </c>
      <c r="K13" s="52">
        <v>852</v>
      </c>
      <c r="L13" s="53">
        <f>K13/K11</f>
        <v>0.33569739952718675</v>
      </c>
      <c r="M13" s="52">
        <v>4</v>
      </c>
      <c r="N13" s="53">
        <f>M13/M11</f>
        <v>0.5</v>
      </c>
    </row>
    <row r="14" spans="1:14" x14ac:dyDescent="0.2">
      <c r="A14" s="32" t="s">
        <v>36</v>
      </c>
      <c r="B14" s="32" t="s">
        <v>216</v>
      </c>
      <c r="C14" s="70">
        <f>C15+C16</f>
        <v>7651</v>
      </c>
      <c r="D14" s="68">
        <v>1</v>
      </c>
      <c r="E14" s="70">
        <f>E15+E16</f>
        <v>7611</v>
      </c>
      <c r="F14" s="68">
        <v>1</v>
      </c>
      <c r="G14" s="70">
        <f>G15+G16</f>
        <v>40</v>
      </c>
      <c r="H14" s="68">
        <v>1</v>
      </c>
      <c r="I14" s="70">
        <f>SUM(I15+I16)</f>
        <v>1306</v>
      </c>
      <c r="J14" s="68">
        <v>1</v>
      </c>
      <c r="K14" s="70">
        <f>SUM(K15+K16)</f>
        <v>1303</v>
      </c>
      <c r="L14" s="68">
        <v>1</v>
      </c>
      <c r="M14" s="70">
        <f>SUM(M15+M16)</f>
        <v>3</v>
      </c>
      <c r="N14" s="68">
        <v>1</v>
      </c>
    </row>
    <row r="15" spans="1:14" x14ac:dyDescent="0.2">
      <c r="A15" s="27" t="s">
        <v>20</v>
      </c>
      <c r="B15" s="27" t="s">
        <v>214</v>
      </c>
      <c r="C15" s="52">
        <v>7188</v>
      </c>
      <c r="D15" s="53">
        <f>C15/C14</f>
        <v>0.93948503463599531</v>
      </c>
      <c r="E15" s="52">
        <v>7149</v>
      </c>
      <c r="F15" s="53">
        <f>E15/E14</f>
        <v>0.93929838391801335</v>
      </c>
      <c r="G15" s="52">
        <v>39</v>
      </c>
      <c r="H15" s="53">
        <f>G15/G14</f>
        <v>0.97499999999999998</v>
      </c>
      <c r="I15" s="52">
        <v>883</v>
      </c>
      <c r="J15" s="53">
        <f>I15/I14</f>
        <v>0.67611026033690658</v>
      </c>
      <c r="K15" s="52">
        <v>881</v>
      </c>
      <c r="L15" s="53">
        <f>K15/K14</f>
        <v>0.67613200306983878</v>
      </c>
      <c r="M15" s="52">
        <v>2</v>
      </c>
      <c r="N15" s="53">
        <f>M15/M14</f>
        <v>0.66666666666666663</v>
      </c>
    </row>
    <row r="16" spans="1:14" s="5" customFormat="1" ht="12.75" customHeight="1" x14ac:dyDescent="0.2">
      <c r="A16" s="27" t="s">
        <v>21</v>
      </c>
      <c r="B16" s="27" t="s">
        <v>213</v>
      </c>
      <c r="C16" s="52">
        <v>463</v>
      </c>
      <c r="D16" s="53">
        <f>C16/C14</f>
        <v>6.0514965364004705E-2</v>
      </c>
      <c r="E16" s="52">
        <v>462</v>
      </c>
      <c r="F16" s="53">
        <f>E16/E14</f>
        <v>6.0701616081986598E-2</v>
      </c>
      <c r="G16" s="52">
        <v>1</v>
      </c>
      <c r="H16" s="53">
        <f>G16/G14</f>
        <v>2.5000000000000001E-2</v>
      </c>
      <c r="I16" s="52">
        <v>423</v>
      </c>
      <c r="J16" s="53">
        <f>I16/I14</f>
        <v>0.32388973966309342</v>
      </c>
      <c r="K16" s="52">
        <v>422</v>
      </c>
      <c r="L16" s="53">
        <f>K16/K14</f>
        <v>0.32386799693016116</v>
      </c>
      <c r="M16" s="52">
        <v>1</v>
      </c>
      <c r="N16" s="53">
        <f>M16/M14</f>
        <v>0.33333333333333331</v>
      </c>
    </row>
    <row r="17" spans="1:26" x14ac:dyDescent="0.2">
      <c r="A17" s="32" t="s">
        <v>45</v>
      </c>
      <c r="B17" s="32" t="s">
        <v>217</v>
      </c>
      <c r="C17" s="113">
        <f>C14/C8</f>
        <v>0.30260243632336653</v>
      </c>
      <c r="D17" s="113" t="s">
        <v>19</v>
      </c>
      <c r="E17" s="113">
        <f>E14/E8</f>
        <v>0.3023237338629593</v>
      </c>
      <c r="F17" s="113" t="s">
        <v>19</v>
      </c>
      <c r="G17" s="113">
        <f>G14/G8</f>
        <v>0.3669724770642202</v>
      </c>
      <c r="H17" s="113" t="s">
        <v>19</v>
      </c>
      <c r="I17" s="113">
        <f>I14/I8</f>
        <v>0.33904465212876428</v>
      </c>
      <c r="J17" s="113" t="s">
        <v>19</v>
      </c>
      <c r="K17" s="113">
        <f>K14/K8</f>
        <v>0.33923457432960169</v>
      </c>
      <c r="L17" s="113" t="s">
        <v>19</v>
      </c>
      <c r="M17" s="113">
        <f>M14/M8</f>
        <v>0.27272727272727271</v>
      </c>
      <c r="N17" s="113" t="s">
        <v>19</v>
      </c>
    </row>
    <row r="18" spans="1:26" x14ac:dyDescent="0.2">
      <c r="A18" s="27" t="s">
        <v>20</v>
      </c>
      <c r="B18" s="27" t="s">
        <v>214</v>
      </c>
      <c r="C18" s="114">
        <f>C15/C9</f>
        <v>0.31411965214351267</v>
      </c>
      <c r="D18" s="114" t="s">
        <v>19</v>
      </c>
      <c r="E18" s="114">
        <f>E15/E9</f>
        <v>0.31370397999034622</v>
      </c>
      <c r="F18" s="114" t="s">
        <v>19</v>
      </c>
      <c r="G18" s="114">
        <f>G15/G9</f>
        <v>0.41489361702127658</v>
      </c>
      <c r="H18" s="114" t="s">
        <v>19</v>
      </c>
      <c r="I18" s="114">
        <f>I15/I9</f>
        <v>0.34317916828604744</v>
      </c>
      <c r="J18" s="114" t="s">
        <v>19</v>
      </c>
      <c r="K18" s="114">
        <f>K15/K9</f>
        <v>0.34320218153486559</v>
      </c>
      <c r="L18" s="114" t="s">
        <v>19</v>
      </c>
      <c r="M18" s="114">
        <f>M15/M9</f>
        <v>0.33333333333333331</v>
      </c>
      <c r="N18" s="114" t="s">
        <v>19</v>
      </c>
    </row>
    <row r="19" spans="1:26" x14ac:dyDescent="0.2">
      <c r="A19" s="27" t="s">
        <v>21</v>
      </c>
      <c r="B19" s="27" t="s">
        <v>213</v>
      </c>
      <c r="C19" s="114">
        <f>C16/C10</f>
        <v>0.1928363182007497</v>
      </c>
      <c r="D19" s="114" t="s">
        <v>19</v>
      </c>
      <c r="E19" s="114">
        <f>E16/E10</f>
        <v>0.19362950544844929</v>
      </c>
      <c r="F19" s="114" t="s">
        <v>19</v>
      </c>
      <c r="G19" s="114">
        <f>G16/G10</f>
        <v>6.6666666666666666E-2</v>
      </c>
      <c r="H19" s="114" t="s">
        <v>19</v>
      </c>
      <c r="I19" s="114">
        <f>I16/I10</f>
        <v>0.33072713057075842</v>
      </c>
      <c r="J19" s="114" t="s">
        <v>19</v>
      </c>
      <c r="K19" s="114">
        <f>K16/K10</f>
        <v>0.33124018838304553</v>
      </c>
      <c r="L19" s="114" t="s">
        <v>19</v>
      </c>
      <c r="M19" s="114">
        <f>M16/M10</f>
        <v>0.2</v>
      </c>
      <c r="N19" s="114" t="s">
        <v>19</v>
      </c>
    </row>
    <row r="20" spans="1:26" x14ac:dyDescent="0.2">
      <c r="C20" s="62"/>
      <c r="D20" s="4"/>
      <c r="E20" s="62"/>
      <c r="F20" s="4"/>
      <c r="G20" s="62"/>
      <c r="H20" s="4"/>
      <c r="I20" s="62"/>
      <c r="J20" s="4"/>
      <c r="K20" s="62"/>
      <c r="L20" s="4"/>
      <c r="M20" s="62"/>
      <c r="N20" s="4"/>
      <c r="O20" s="19"/>
      <c r="P20" s="4"/>
      <c r="Q20" s="19"/>
      <c r="R20" s="4"/>
      <c r="S20" s="19"/>
      <c r="T20" s="4"/>
      <c r="U20" s="19"/>
      <c r="V20" s="4"/>
      <c r="W20" s="21"/>
      <c r="X20" s="4"/>
      <c r="Y20" s="19"/>
      <c r="Z20" s="4"/>
    </row>
    <row r="21" spans="1:26" ht="19.5" customHeight="1" x14ac:dyDescent="0.2">
      <c r="A21" s="8"/>
      <c r="B21" s="8"/>
      <c r="C21" s="108" t="s">
        <v>3</v>
      </c>
      <c r="D21" s="108"/>
      <c r="E21" s="108"/>
      <c r="F21" s="108"/>
      <c r="G21" s="108"/>
      <c r="H21" s="109"/>
      <c r="I21" s="108" t="s">
        <v>4</v>
      </c>
      <c r="J21" s="108"/>
      <c r="K21" s="108"/>
      <c r="L21" s="108"/>
      <c r="M21" s="108"/>
      <c r="N21" s="108"/>
    </row>
    <row r="22" spans="1:26" ht="19.5" customHeight="1" x14ac:dyDescent="0.2">
      <c r="A22" s="8"/>
      <c r="B22" s="8"/>
      <c r="C22" s="108" t="s">
        <v>3</v>
      </c>
      <c r="D22" s="108"/>
      <c r="E22" s="108"/>
      <c r="F22" s="108"/>
      <c r="G22" s="108"/>
      <c r="H22" s="109"/>
      <c r="I22" s="108" t="s">
        <v>4</v>
      </c>
      <c r="J22" s="108"/>
      <c r="K22" s="108"/>
      <c r="L22" s="108"/>
      <c r="M22" s="108"/>
      <c r="N22" s="108"/>
    </row>
    <row r="23" spans="1:26" ht="19.5" customHeight="1" x14ac:dyDescent="0.2">
      <c r="A23" s="8"/>
      <c r="B23" s="8"/>
      <c r="C23" s="63" t="s">
        <v>6</v>
      </c>
      <c r="D23" s="63"/>
      <c r="E23" s="63" t="s">
        <v>7</v>
      </c>
      <c r="F23" s="63"/>
      <c r="G23" s="63" t="s">
        <v>10</v>
      </c>
      <c r="H23" s="64"/>
      <c r="I23" s="63" t="s">
        <v>6</v>
      </c>
      <c r="J23" s="63"/>
      <c r="K23" s="63" t="s">
        <v>7</v>
      </c>
      <c r="L23" s="63"/>
      <c r="M23" s="63" t="s">
        <v>10</v>
      </c>
      <c r="N23" s="63"/>
    </row>
    <row r="24" spans="1:26" ht="19.5" customHeight="1" x14ac:dyDescent="0.2">
      <c r="A24" s="9"/>
      <c r="B24" s="9"/>
      <c r="C24" s="63" t="s">
        <v>6</v>
      </c>
      <c r="D24" s="63" t="s">
        <v>11</v>
      </c>
      <c r="E24" s="63" t="s">
        <v>211</v>
      </c>
      <c r="F24" s="63" t="s">
        <v>11</v>
      </c>
      <c r="G24" s="63" t="s">
        <v>212</v>
      </c>
      <c r="H24" s="64" t="s">
        <v>11</v>
      </c>
      <c r="I24" s="63" t="s">
        <v>6</v>
      </c>
      <c r="J24" s="63" t="s">
        <v>11</v>
      </c>
      <c r="K24" s="63" t="s">
        <v>211</v>
      </c>
      <c r="L24" s="63" t="s">
        <v>11</v>
      </c>
      <c r="M24" s="63" t="s">
        <v>212</v>
      </c>
      <c r="N24" s="63" t="s">
        <v>11</v>
      </c>
    </row>
    <row r="25" spans="1:26" x14ac:dyDescent="0.2">
      <c r="A25" s="31" t="s">
        <v>6</v>
      </c>
      <c r="B25" s="31" t="s">
        <v>6</v>
      </c>
      <c r="C25" s="48">
        <f>SUM(C26+C27)</f>
        <v>1732</v>
      </c>
      <c r="D25" s="68">
        <v>1</v>
      </c>
      <c r="E25" s="48">
        <f>SUM(E26+E27)</f>
        <v>1728</v>
      </c>
      <c r="F25" s="68">
        <v>1</v>
      </c>
      <c r="G25" s="48">
        <f>SUM(G26+G27)</f>
        <v>4</v>
      </c>
      <c r="H25" s="68">
        <v>1</v>
      </c>
      <c r="I25" s="50">
        <f>I26+I27</f>
        <v>276</v>
      </c>
      <c r="J25" s="65">
        <v>1</v>
      </c>
      <c r="K25" s="50">
        <f>K26+K27</f>
        <v>276</v>
      </c>
      <c r="L25" s="65">
        <v>1</v>
      </c>
      <c r="M25" s="50">
        <v>0</v>
      </c>
      <c r="N25" s="65" t="s">
        <v>19</v>
      </c>
    </row>
    <row r="26" spans="1:26" x14ac:dyDescent="0.2">
      <c r="A26" s="27" t="s">
        <v>20</v>
      </c>
      <c r="B26" s="27" t="s">
        <v>214</v>
      </c>
      <c r="C26" s="69">
        <v>1311</v>
      </c>
      <c r="D26" s="53">
        <f>C26/C25</f>
        <v>0.75692840646651272</v>
      </c>
      <c r="E26" s="69">
        <v>1310</v>
      </c>
      <c r="F26" s="53">
        <f>E26/E25</f>
        <v>0.75810185185185186</v>
      </c>
      <c r="G26" s="69">
        <v>1</v>
      </c>
      <c r="H26" s="53">
        <f>G26/G25</f>
        <v>0.25</v>
      </c>
      <c r="I26" s="66">
        <v>176</v>
      </c>
      <c r="J26" s="55">
        <f>I26/I25</f>
        <v>0.6376811594202898</v>
      </c>
      <c r="K26" s="66">
        <v>176</v>
      </c>
      <c r="L26" s="55">
        <f>K26/K25</f>
        <v>0.6376811594202898</v>
      </c>
      <c r="M26" s="66">
        <v>0</v>
      </c>
      <c r="N26" s="55" t="s">
        <v>19</v>
      </c>
    </row>
    <row r="27" spans="1:26" x14ac:dyDescent="0.2">
      <c r="A27" s="27" t="s">
        <v>21</v>
      </c>
      <c r="B27" s="27" t="s">
        <v>213</v>
      </c>
      <c r="C27" s="69">
        <v>421</v>
      </c>
      <c r="D27" s="53">
        <f>C27/C25</f>
        <v>0.24307159353348728</v>
      </c>
      <c r="E27" s="69">
        <v>418</v>
      </c>
      <c r="F27" s="53">
        <f>E27/E25</f>
        <v>0.24189814814814814</v>
      </c>
      <c r="G27" s="69">
        <v>3</v>
      </c>
      <c r="H27" s="53">
        <f>G27/G25</f>
        <v>0.75</v>
      </c>
      <c r="I27" s="66">
        <v>100</v>
      </c>
      <c r="J27" s="55">
        <f>I27/I25</f>
        <v>0.36231884057971014</v>
      </c>
      <c r="K27" s="66">
        <v>100</v>
      </c>
      <c r="L27" s="55">
        <f>K27/K25</f>
        <v>0.36231884057971014</v>
      </c>
      <c r="M27" s="66">
        <v>0</v>
      </c>
      <c r="N27" s="55" t="s">
        <v>19</v>
      </c>
    </row>
    <row r="28" spans="1:26" x14ac:dyDescent="0.2">
      <c r="A28" s="32" t="s">
        <v>35</v>
      </c>
      <c r="B28" s="32" t="s">
        <v>215</v>
      </c>
      <c r="C28" s="70">
        <f>SUM(C29+C30)</f>
        <v>1274</v>
      </c>
      <c r="D28" s="68">
        <v>1</v>
      </c>
      <c r="E28" s="70">
        <f>SUM(E29+E30)</f>
        <v>1272</v>
      </c>
      <c r="F28" s="68">
        <v>0.9859154929577465</v>
      </c>
      <c r="G28" s="70">
        <f>SUM(G29+G30)</f>
        <v>2</v>
      </c>
      <c r="H28" s="68">
        <v>1</v>
      </c>
      <c r="I28" s="61">
        <f>I29+I30</f>
        <v>169</v>
      </c>
      <c r="J28" s="65">
        <v>1</v>
      </c>
      <c r="K28" s="61">
        <f>K29+K30</f>
        <v>169</v>
      </c>
      <c r="L28" s="65">
        <v>1</v>
      </c>
      <c r="M28" s="61">
        <v>0</v>
      </c>
      <c r="N28" s="65" t="s">
        <v>19</v>
      </c>
    </row>
    <row r="29" spans="1:26" ht="12.75" customHeight="1" x14ac:dyDescent="0.2">
      <c r="A29" s="27" t="s">
        <v>20</v>
      </c>
      <c r="B29" s="27" t="s">
        <v>214</v>
      </c>
      <c r="C29" s="52">
        <v>949</v>
      </c>
      <c r="D29" s="53">
        <f>C29/C28</f>
        <v>0.74489795918367352</v>
      </c>
      <c r="E29" s="52">
        <v>949</v>
      </c>
      <c r="F29" s="53">
        <f>E29/E28</f>
        <v>0.74606918238993714</v>
      </c>
      <c r="G29" s="52">
        <v>0</v>
      </c>
      <c r="H29" s="53">
        <f>G29/G28</f>
        <v>0</v>
      </c>
      <c r="I29" s="54">
        <v>97</v>
      </c>
      <c r="J29" s="55">
        <f>I29/I28</f>
        <v>0.57396449704142016</v>
      </c>
      <c r="K29" s="54">
        <v>97</v>
      </c>
      <c r="L29" s="55">
        <f>K29/K28</f>
        <v>0.57396449704142016</v>
      </c>
      <c r="M29" s="54">
        <v>0</v>
      </c>
      <c r="N29" s="55" t="s">
        <v>19</v>
      </c>
    </row>
    <row r="30" spans="1:26" x14ac:dyDescent="0.2">
      <c r="A30" s="27" t="s">
        <v>21</v>
      </c>
      <c r="B30" s="27" t="s">
        <v>213</v>
      </c>
      <c r="C30" s="52">
        <v>325</v>
      </c>
      <c r="D30" s="53">
        <f>C30/C28</f>
        <v>0.25510204081632654</v>
      </c>
      <c r="E30" s="52">
        <v>323</v>
      </c>
      <c r="F30" s="53">
        <f>E30/E28</f>
        <v>0.25393081761006292</v>
      </c>
      <c r="G30" s="52">
        <v>2</v>
      </c>
      <c r="H30" s="53">
        <f>G30/G28</f>
        <v>1</v>
      </c>
      <c r="I30" s="54">
        <v>72</v>
      </c>
      <c r="J30" s="55">
        <f>I30/I28</f>
        <v>0.42603550295857989</v>
      </c>
      <c r="K30" s="54">
        <v>72</v>
      </c>
      <c r="L30" s="55">
        <f>K30/K28</f>
        <v>0.42603550295857989</v>
      </c>
      <c r="M30" s="54">
        <v>0</v>
      </c>
      <c r="N30" s="55" t="s">
        <v>19</v>
      </c>
    </row>
    <row r="31" spans="1:26" x14ac:dyDescent="0.2">
      <c r="A31" s="32" t="s">
        <v>36</v>
      </c>
      <c r="B31" s="32" t="s">
        <v>216</v>
      </c>
      <c r="C31" s="70">
        <f>SUM(C32+C33)</f>
        <v>458</v>
      </c>
      <c r="D31" s="68">
        <v>1</v>
      </c>
      <c r="E31" s="70">
        <f>E32+E33</f>
        <v>456</v>
      </c>
      <c r="F31" s="68">
        <v>1</v>
      </c>
      <c r="G31" s="70">
        <f>SUM(G32+G33)</f>
        <v>2</v>
      </c>
      <c r="H31" s="68">
        <v>1</v>
      </c>
      <c r="I31" s="61">
        <f>I32+I33</f>
        <v>107</v>
      </c>
      <c r="J31" s="65">
        <v>1</v>
      </c>
      <c r="K31" s="61">
        <f>K32+K33</f>
        <v>107</v>
      </c>
      <c r="L31" s="65">
        <v>1</v>
      </c>
      <c r="M31" s="61">
        <v>0</v>
      </c>
      <c r="N31" s="65" t="s">
        <v>19</v>
      </c>
    </row>
    <row r="32" spans="1:26" x14ac:dyDescent="0.2">
      <c r="A32" s="27" t="s">
        <v>20</v>
      </c>
      <c r="B32" s="27" t="s">
        <v>214</v>
      </c>
      <c r="C32" s="52">
        <v>362</v>
      </c>
      <c r="D32" s="53">
        <f>C32/C31</f>
        <v>0.79039301310043664</v>
      </c>
      <c r="E32" s="52">
        <v>361</v>
      </c>
      <c r="F32" s="53">
        <f>E32/E31</f>
        <v>0.79166666666666663</v>
      </c>
      <c r="G32" s="52">
        <v>1</v>
      </c>
      <c r="H32" s="53">
        <v>0</v>
      </c>
      <c r="I32" s="54">
        <v>79</v>
      </c>
      <c r="J32" s="55">
        <f>I32/I31</f>
        <v>0.73831775700934577</v>
      </c>
      <c r="K32" s="54">
        <v>79</v>
      </c>
      <c r="L32" s="55">
        <f>K32/K31</f>
        <v>0.73831775700934577</v>
      </c>
      <c r="M32" s="54">
        <v>0</v>
      </c>
      <c r="N32" s="55" t="s">
        <v>19</v>
      </c>
    </row>
    <row r="33" spans="1:14" ht="12.75" customHeight="1" x14ac:dyDescent="0.2">
      <c r="A33" s="27" t="s">
        <v>21</v>
      </c>
      <c r="B33" s="27" t="s">
        <v>213</v>
      </c>
      <c r="C33" s="52">
        <v>96</v>
      </c>
      <c r="D33" s="53">
        <f>C33/C31</f>
        <v>0.20960698689956331</v>
      </c>
      <c r="E33" s="52">
        <v>95</v>
      </c>
      <c r="F33" s="53">
        <f>E33/E31</f>
        <v>0.20833333333333334</v>
      </c>
      <c r="G33" s="52">
        <v>1</v>
      </c>
      <c r="H33" s="53">
        <v>1</v>
      </c>
      <c r="I33" s="54">
        <v>28</v>
      </c>
      <c r="J33" s="55">
        <f>I33/I31</f>
        <v>0.26168224299065418</v>
      </c>
      <c r="K33" s="54">
        <v>28</v>
      </c>
      <c r="L33" s="55">
        <f>K33/K31</f>
        <v>0.26168224299065418</v>
      </c>
      <c r="M33" s="54">
        <v>0</v>
      </c>
      <c r="N33" s="55" t="s">
        <v>19</v>
      </c>
    </row>
    <row r="34" spans="1:14" x14ac:dyDescent="0.2">
      <c r="A34" s="32" t="s">
        <v>45</v>
      </c>
      <c r="B34" s="32" t="s">
        <v>217</v>
      </c>
      <c r="C34" s="113">
        <f>C31/C25</f>
        <v>0.26443418013856812</v>
      </c>
      <c r="D34" s="113" t="s">
        <v>19</v>
      </c>
      <c r="E34" s="113">
        <f>E31/E25</f>
        <v>0.2638888888888889</v>
      </c>
      <c r="F34" s="113" t="s">
        <v>19</v>
      </c>
      <c r="G34" s="113">
        <f>G31/G25</f>
        <v>0.5</v>
      </c>
      <c r="H34" s="113" t="s">
        <v>19</v>
      </c>
      <c r="I34" s="110">
        <f>I31/I25</f>
        <v>0.38768115942028986</v>
      </c>
      <c r="J34" s="110" t="s">
        <v>19</v>
      </c>
      <c r="K34" s="110">
        <f>K31/K25</f>
        <v>0.38768115942028986</v>
      </c>
      <c r="L34" s="110" t="s">
        <v>19</v>
      </c>
      <c r="M34" s="110" t="s">
        <v>19</v>
      </c>
      <c r="N34" s="110" t="s">
        <v>19</v>
      </c>
    </row>
    <row r="35" spans="1:14" x14ac:dyDescent="0.2">
      <c r="A35" s="27" t="s">
        <v>20</v>
      </c>
      <c r="B35" s="27" t="s">
        <v>214</v>
      </c>
      <c r="C35" s="114">
        <f t="shared" ref="C35:E36" si="0">C32/C26</f>
        <v>0.27612509534706331</v>
      </c>
      <c r="D35" s="114" t="s">
        <v>19</v>
      </c>
      <c r="E35" s="114">
        <f t="shared" si="0"/>
        <v>0.27557251908396946</v>
      </c>
      <c r="F35" s="114" t="s">
        <v>19</v>
      </c>
      <c r="G35" s="114">
        <f>G32/G26</f>
        <v>1</v>
      </c>
      <c r="H35" s="114" t="s">
        <v>19</v>
      </c>
      <c r="I35" s="107">
        <f>I32/I26</f>
        <v>0.44886363636363635</v>
      </c>
      <c r="J35" s="107" t="s">
        <v>19</v>
      </c>
      <c r="K35" s="107">
        <f>K32/K26</f>
        <v>0.44886363636363635</v>
      </c>
      <c r="L35" s="107" t="s">
        <v>19</v>
      </c>
      <c r="M35" s="107" t="s">
        <v>19</v>
      </c>
      <c r="N35" s="107" t="s">
        <v>19</v>
      </c>
    </row>
    <row r="36" spans="1:14" x14ac:dyDescent="0.2">
      <c r="A36" s="27" t="s">
        <v>21</v>
      </c>
      <c r="B36" s="27" t="s">
        <v>213</v>
      </c>
      <c r="C36" s="114">
        <f t="shared" si="0"/>
        <v>0.22802850356294538</v>
      </c>
      <c r="D36" s="114" t="s">
        <v>19</v>
      </c>
      <c r="E36" s="114">
        <f t="shared" si="0"/>
        <v>0.22727272727272727</v>
      </c>
      <c r="F36" s="114" t="s">
        <v>19</v>
      </c>
      <c r="G36" s="114">
        <f>G33/G27</f>
        <v>0.33333333333333331</v>
      </c>
      <c r="H36" s="114" t="s">
        <v>19</v>
      </c>
      <c r="I36" s="107">
        <f>I33/I27</f>
        <v>0.28000000000000003</v>
      </c>
      <c r="J36" s="107" t="s">
        <v>19</v>
      </c>
      <c r="K36" s="107">
        <f>K33/K27</f>
        <v>0.28000000000000003</v>
      </c>
      <c r="L36" s="107" t="s">
        <v>19</v>
      </c>
      <c r="M36" s="107" t="s">
        <v>19</v>
      </c>
      <c r="N36" s="107" t="s">
        <v>19</v>
      </c>
    </row>
    <row r="37" spans="1:14" x14ac:dyDescent="0.2">
      <c r="A37" s="2" t="s">
        <v>209</v>
      </c>
      <c r="B37" s="2"/>
    </row>
    <row r="38" spans="1:14" x14ac:dyDescent="0.2">
      <c r="A38" s="2" t="s">
        <v>210</v>
      </c>
      <c r="B38" s="2"/>
    </row>
    <row r="39" spans="1:14" x14ac:dyDescent="0.2">
      <c r="A39" s="2" t="s">
        <v>34</v>
      </c>
      <c r="B39" s="2"/>
    </row>
    <row r="40" spans="1:14" x14ac:dyDescent="0.2">
      <c r="A40" s="2" t="s">
        <v>82</v>
      </c>
      <c r="B40" s="2"/>
    </row>
  </sheetData>
  <mergeCells count="44">
    <mergeCell ref="C5:H5"/>
    <mergeCell ref="I5:N5"/>
    <mergeCell ref="C22:H22"/>
    <mergeCell ref="I22:N22"/>
    <mergeCell ref="C36:D36"/>
    <mergeCell ref="E36:F36"/>
    <mergeCell ref="G36:H36"/>
    <mergeCell ref="I36:J36"/>
    <mergeCell ref="K36:L36"/>
    <mergeCell ref="M36:N36"/>
    <mergeCell ref="C35:D35"/>
    <mergeCell ref="E35:F35"/>
    <mergeCell ref="G35:H35"/>
    <mergeCell ref="I35:J35"/>
    <mergeCell ref="K35:L35"/>
    <mergeCell ref="M35:N35"/>
    <mergeCell ref="C34:D34"/>
    <mergeCell ref="E34:F34"/>
    <mergeCell ref="G34:H34"/>
    <mergeCell ref="I34:J34"/>
    <mergeCell ref="K34:L34"/>
    <mergeCell ref="M34:N34"/>
    <mergeCell ref="C19:D19"/>
    <mergeCell ref="E19:F19"/>
    <mergeCell ref="G19:H19"/>
    <mergeCell ref="I19:J19"/>
    <mergeCell ref="K19:L19"/>
    <mergeCell ref="M19:N19"/>
    <mergeCell ref="C18:D18"/>
    <mergeCell ref="E18:F18"/>
    <mergeCell ref="G18:H18"/>
    <mergeCell ref="I18:J18"/>
    <mergeCell ref="K18:L18"/>
    <mergeCell ref="M18:N18"/>
    <mergeCell ref="C4:H4"/>
    <mergeCell ref="I4:N4"/>
    <mergeCell ref="C21:H21"/>
    <mergeCell ref="I21:N21"/>
    <mergeCell ref="C17:D17"/>
    <mergeCell ref="E17:F17"/>
    <mergeCell ref="G17:H17"/>
    <mergeCell ref="I17:J17"/>
    <mergeCell ref="K17:L17"/>
    <mergeCell ref="M17:N17"/>
  </mergeCells>
  <pageMargins left="0.75" right="0.75" top="1" bottom="1" header="0" footer="0"/>
  <pageSetup paperSize="9" orientation="landscape" r:id="rId1"/>
  <headerFooter alignWithMargins="0"/>
  <ignoredErrors>
    <ignoredError sqref="D26:D27 J26:J27 N9:N10 J9:J10 D9:D10 F9:F10 H9:H10 L9:L10 F26:F27 H26:H27 L26:L27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3" sqref="A3"/>
    </sheetView>
  </sheetViews>
  <sheetFormatPr baseColWidth="10" defaultRowHeight="12.75" x14ac:dyDescent="0.2"/>
  <cols>
    <col min="1" max="2" width="42.7109375" style="1" customWidth="1"/>
    <col min="3" max="3" width="11.42578125" style="1"/>
    <col min="4" max="4" width="11.5703125" style="1" customWidth="1"/>
    <col min="5" max="6" width="11.42578125" style="1"/>
    <col min="7" max="7" width="11.28515625" style="1" customWidth="1"/>
    <col min="8" max="16384" width="11.42578125" style="1"/>
  </cols>
  <sheetData>
    <row r="1" spans="1:8" x14ac:dyDescent="0.2">
      <c r="A1" s="5" t="s">
        <v>86</v>
      </c>
      <c r="B1" s="5"/>
    </row>
    <row r="2" spans="1:8" x14ac:dyDescent="0.2">
      <c r="A2" s="24" t="s">
        <v>87</v>
      </c>
      <c r="B2" s="24"/>
    </row>
    <row r="3" spans="1:8" x14ac:dyDescent="0.2">
      <c r="B3" s="24"/>
    </row>
    <row r="4" spans="1:8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8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8" x14ac:dyDescent="0.2">
      <c r="A6" s="5" t="s">
        <v>43</v>
      </c>
      <c r="B6" s="5" t="s">
        <v>218</v>
      </c>
      <c r="C6" s="50">
        <v>172511</v>
      </c>
      <c r="D6" s="61">
        <v>23057</v>
      </c>
      <c r="E6" s="50">
        <v>12267</v>
      </c>
      <c r="F6" s="50">
        <v>5897</v>
      </c>
      <c r="G6" s="67">
        <f>F6/E6</f>
        <v>0.48072063259150566</v>
      </c>
    </row>
    <row r="7" spans="1:8" x14ac:dyDescent="0.2">
      <c r="A7" s="27" t="s">
        <v>46</v>
      </c>
      <c r="B7" s="27" t="s">
        <v>219</v>
      </c>
      <c r="C7" s="54">
        <v>74</v>
      </c>
      <c r="D7" s="38">
        <v>7</v>
      </c>
      <c r="E7" s="54">
        <v>3</v>
      </c>
      <c r="F7" s="54">
        <v>0</v>
      </c>
      <c r="G7" s="62">
        <f>F7/E7</f>
        <v>0</v>
      </c>
    </row>
    <row r="8" spans="1:8" x14ac:dyDescent="0.2">
      <c r="A8" s="27" t="s">
        <v>47</v>
      </c>
      <c r="B8" s="27" t="s">
        <v>220</v>
      </c>
      <c r="C8" s="54">
        <v>1</v>
      </c>
      <c r="D8" s="38">
        <v>1</v>
      </c>
      <c r="E8" s="54">
        <v>1</v>
      </c>
      <c r="F8" s="54">
        <v>0</v>
      </c>
      <c r="G8" s="62">
        <f t="shared" ref="G8:G25" si="0">F8/E8</f>
        <v>0</v>
      </c>
    </row>
    <row r="9" spans="1:8" x14ac:dyDescent="0.2">
      <c r="A9" s="27" t="s">
        <v>48</v>
      </c>
      <c r="B9" s="27" t="s">
        <v>221</v>
      </c>
      <c r="C9" s="54">
        <v>1</v>
      </c>
      <c r="D9" s="38">
        <v>1</v>
      </c>
      <c r="E9" s="54">
        <v>0</v>
      </c>
      <c r="F9" s="54">
        <v>0</v>
      </c>
      <c r="G9" s="62">
        <v>0</v>
      </c>
    </row>
    <row r="10" spans="1:8" x14ac:dyDescent="0.2">
      <c r="A10" s="27" t="s">
        <v>49</v>
      </c>
      <c r="B10" s="27" t="s">
        <v>49</v>
      </c>
      <c r="C10" s="54">
        <v>92951</v>
      </c>
      <c r="D10" s="66">
        <v>13195</v>
      </c>
      <c r="E10" s="54">
        <v>6617</v>
      </c>
      <c r="F10" s="54">
        <v>3912</v>
      </c>
      <c r="G10" s="62">
        <f>F10/E10</f>
        <v>0.59120447332628079</v>
      </c>
      <c r="H10" s="36"/>
    </row>
    <row r="11" spans="1:8" x14ac:dyDescent="0.2">
      <c r="A11" s="27" t="s">
        <v>50</v>
      </c>
      <c r="B11" s="27" t="s">
        <v>50</v>
      </c>
      <c r="C11" s="54">
        <v>20043</v>
      </c>
      <c r="D11" s="66">
        <v>2960</v>
      </c>
      <c r="E11" s="54">
        <v>1619</v>
      </c>
      <c r="F11" s="54">
        <v>211</v>
      </c>
      <c r="G11" s="62">
        <f>F11/E11</f>
        <v>0.13032736256948735</v>
      </c>
      <c r="H11" s="37"/>
    </row>
    <row r="12" spans="1:8" x14ac:dyDescent="0.2">
      <c r="A12" s="27" t="s">
        <v>51</v>
      </c>
      <c r="B12" s="27" t="s">
        <v>51</v>
      </c>
      <c r="C12" s="54">
        <v>5960</v>
      </c>
      <c r="D12" s="66">
        <v>1017</v>
      </c>
      <c r="E12" s="54">
        <v>609</v>
      </c>
      <c r="F12" s="54">
        <v>543</v>
      </c>
      <c r="G12" s="62">
        <f>F12/E12</f>
        <v>0.89162561576354682</v>
      </c>
    </row>
    <row r="13" spans="1:8" x14ac:dyDescent="0.2">
      <c r="A13" s="27" t="s">
        <v>52</v>
      </c>
      <c r="B13" s="27" t="s">
        <v>222</v>
      </c>
      <c r="C13" s="54">
        <v>10868</v>
      </c>
      <c r="D13" s="38">
        <v>627</v>
      </c>
      <c r="E13" s="54">
        <v>304</v>
      </c>
      <c r="F13" s="54">
        <v>47</v>
      </c>
      <c r="G13" s="62">
        <f>F13/E13</f>
        <v>0.15460526315789475</v>
      </c>
    </row>
    <row r="14" spans="1:8" x14ac:dyDescent="0.2">
      <c r="A14" s="27" t="s">
        <v>53</v>
      </c>
      <c r="B14" s="27" t="s">
        <v>223</v>
      </c>
      <c r="C14" s="54">
        <v>1522</v>
      </c>
      <c r="D14" s="38">
        <v>69</v>
      </c>
      <c r="E14" s="54">
        <v>39</v>
      </c>
      <c r="F14" s="54">
        <v>29</v>
      </c>
      <c r="G14" s="62">
        <f t="shared" si="0"/>
        <v>0.74358974358974361</v>
      </c>
    </row>
    <row r="15" spans="1:8" x14ac:dyDescent="0.2">
      <c r="A15" s="27" t="s">
        <v>54</v>
      </c>
      <c r="B15" s="27" t="s">
        <v>224</v>
      </c>
      <c r="C15" s="54">
        <v>3288</v>
      </c>
      <c r="D15" s="38">
        <v>358</v>
      </c>
      <c r="E15" s="54">
        <v>298</v>
      </c>
      <c r="F15" s="54">
        <v>25</v>
      </c>
      <c r="G15" s="62">
        <f t="shared" si="0"/>
        <v>8.3892617449664433E-2</v>
      </c>
    </row>
    <row r="16" spans="1:8" x14ac:dyDescent="0.2">
      <c r="A16" s="27" t="s">
        <v>78</v>
      </c>
      <c r="B16" s="27" t="s">
        <v>225</v>
      </c>
      <c r="C16" s="54">
        <v>769</v>
      </c>
      <c r="D16" s="38">
        <v>10</v>
      </c>
      <c r="E16" s="54">
        <v>3</v>
      </c>
      <c r="F16" s="54">
        <v>2</v>
      </c>
      <c r="G16" s="62">
        <f t="shared" si="0"/>
        <v>0.66666666666666663</v>
      </c>
    </row>
    <row r="17" spans="1:7" x14ac:dyDescent="0.2">
      <c r="A17" s="27" t="s">
        <v>79</v>
      </c>
      <c r="B17" s="27" t="s">
        <v>226</v>
      </c>
      <c r="C17" s="54">
        <v>941</v>
      </c>
      <c r="D17" s="38">
        <v>46</v>
      </c>
      <c r="E17" s="54">
        <v>29</v>
      </c>
      <c r="F17" s="54">
        <v>10</v>
      </c>
      <c r="G17" s="62">
        <f t="shared" si="0"/>
        <v>0.34482758620689657</v>
      </c>
    </row>
    <row r="18" spans="1:7" x14ac:dyDescent="0.2">
      <c r="A18" s="27" t="s">
        <v>55</v>
      </c>
      <c r="B18" s="27" t="s">
        <v>227</v>
      </c>
      <c r="C18" s="54">
        <v>606</v>
      </c>
      <c r="D18" s="38">
        <v>38</v>
      </c>
      <c r="E18" s="54">
        <v>19</v>
      </c>
      <c r="F18" s="54">
        <v>0</v>
      </c>
      <c r="G18" s="62">
        <f t="shared" si="0"/>
        <v>0</v>
      </c>
    </row>
    <row r="19" spans="1:7" x14ac:dyDescent="0.2">
      <c r="A19" s="27" t="s">
        <v>56</v>
      </c>
      <c r="B19" s="27" t="s">
        <v>228</v>
      </c>
      <c r="C19" s="54">
        <v>11691</v>
      </c>
      <c r="D19" s="66">
        <v>1206</v>
      </c>
      <c r="E19" s="54">
        <v>595</v>
      </c>
      <c r="F19" s="54">
        <v>200</v>
      </c>
      <c r="G19" s="62">
        <f t="shared" si="0"/>
        <v>0.33613445378151263</v>
      </c>
    </row>
    <row r="20" spans="1:7" x14ac:dyDescent="0.2">
      <c r="A20" s="27" t="s">
        <v>57</v>
      </c>
      <c r="B20" s="27" t="s">
        <v>229</v>
      </c>
      <c r="C20" s="54">
        <v>18265</v>
      </c>
      <c r="D20" s="66">
        <v>2534</v>
      </c>
      <c r="E20" s="54">
        <v>1731</v>
      </c>
      <c r="F20" s="54">
        <v>790</v>
      </c>
      <c r="G20" s="62">
        <f t="shared" si="0"/>
        <v>0.45638359329867129</v>
      </c>
    </row>
    <row r="21" spans="1:7" x14ac:dyDescent="0.2">
      <c r="A21" s="27" t="s">
        <v>58</v>
      </c>
      <c r="B21" s="27" t="s">
        <v>230</v>
      </c>
      <c r="C21" s="54">
        <v>5531</v>
      </c>
      <c r="D21" s="38">
        <v>988</v>
      </c>
      <c r="E21" s="54">
        <v>400</v>
      </c>
      <c r="F21" s="54">
        <v>74</v>
      </c>
      <c r="G21" s="62">
        <f t="shared" si="0"/>
        <v>0.185</v>
      </c>
    </row>
    <row r="22" spans="1:7" x14ac:dyDescent="0.2">
      <c r="A22" s="5" t="s">
        <v>44</v>
      </c>
      <c r="B22" s="5" t="s">
        <v>231</v>
      </c>
      <c r="C22" s="50">
        <v>8473</v>
      </c>
      <c r="D22" s="61">
        <v>1197</v>
      </c>
      <c r="E22" s="50">
        <v>833</v>
      </c>
      <c r="F22" s="50">
        <v>237</v>
      </c>
      <c r="G22" s="67">
        <f t="shared" si="0"/>
        <v>0.2845138055222089</v>
      </c>
    </row>
    <row r="23" spans="1:7" x14ac:dyDescent="0.2">
      <c r="A23" s="27" t="s">
        <v>59</v>
      </c>
      <c r="B23" s="27" t="s">
        <v>232</v>
      </c>
      <c r="C23" s="54">
        <v>3745</v>
      </c>
      <c r="D23" s="38">
        <v>641</v>
      </c>
      <c r="E23" s="54">
        <v>463</v>
      </c>
      <c r="F23" s="54">
        <v>98</v>
      </c>
      <c r="G23" s="62">
        <f t="shared" si="0"/>
        <v>0.21166306695464362</v>
      </c>
    </row>
    <row r="24" spans="1:7" x14ac:dyDescent="0.2">
      <c r="A24" s="27" t="s">
        <v>60</v>
      </c>
      <c r="B24" s="27" t="s">
        <v>233</v>
      </c>
      <c r="C24" s="54">
        <v>3207</v>
      </c>
      <c r="D24" s="38">
        <v>392</v>
      </c>
      <c r="E24" s="54">
        <v>297</v>
      </c>
      <c r="F24" s="54">
        <v>137</v>
      </c>
      <c r="G24" s="62">
        <f t="shared" si="0"/>
        <v>0.46127946127946129</v>
      </c>
    </row>
    <row r="25" spans="1:7" x14ac:dyDescent="0.2">
      <c r="A25" s="27" t="s">
        <v>58</v>
      </c>
      <c r="B25" s="27" t="s">
        <v>230</v>
      </c>
      <c r="C25" s="54">
        <v>1521</v>
      </c>
      <c r="D25" s="38">
        <v>164</v>
      </c>
      <c r="E25" s="54">
        <v>73</v>
      </c>
      <c r="F25" s="54">
        <v>2</v>
      </c>
      <c r="G25" s="62">
        <f t="shared" si="0"/>
        <v>2.7397260273972601E-2</v>
      </c>
    </row>
    <row r="26" spans="1:7" x14ac:dyDescent="0.2">
      <c r="A26" s="2" t="s">
        <v>34</v>
      </c>
      <c r="B26" s="2"/>
      <c r="C26" s="3"/>
    </row>
    <row r="27" spans="1:7" x14ac:dyDescent="0.2">
      <c r="A27" s="2" t="s">
        <v>82</v>
      </c>
      <c r="B27" s="2"/>
    </row>
    <row r="31" spans="1:7" x14ac:dyDescent="0.2">
      <c r="G31" s="35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G27"/>
  <sheetViews>
    <sheetView workbookViewId="0">
      <selection activeCell="A3" sqref="A3"/>
    </sheetView>
  </sheetViews>
  <sheetFormatPr baseColWidth="10" defaultRowHeight="12.75" x14ac:dyDescent="0.2"/>
  <cols>
    <col min="1" max="2" width="42.7109375" style="1" customWidth="1"/>
    <col min="3" max="3" width="11.42578125" style="1"/>
    <col min="4" max="4" width="11.5703125" style="1" customWidth="1"/>
    <col min="5" max="6" width="11.42578125" style="1"/>
    <col min="7" max="7" width="11.28515625" style="1" customWidth="1"/>
    <col min="8" max="16384" width="11.42578125" style="1"/>
  </cols>
  <sheetData>
    <row r="1" spans="1:7" x14ac:dyDescent="0.2">
      <c r="A1" s="5" t="s">
        <v>133</v>
      </c>
      <c r="B1" s="5"/>
    </row>
    <row r="2" spans="1:7" x14ac:dyDescent="0.2">
      <c r="A2" s="24" t="s">
        <v>134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43</v>
      </c>
      <c r="B6" s="5" t="s">
        <v>218</v>
      </c>
      <c r="C6" s="48">
        <f>SUM(C7:C21)</f>
        <v>178916</v>
      </c>
      <c r="D6" s="48">
        <f>SUM(D7:D21)</f>
        <v>24463</v>
      </c>
      <c r="E6" s="48">
        <f>SUM(E7:E21)</f>
        <v>12485</v>
      </c>
      <c r="F6" s="48">
        <f>SUM(F7:F21)</f>
        <v>5899</v>
      </c>
      <c r="G6" s="58">
        <f>F6/E6</f>
        <v>0.47248698438125752</v>
      </c>
    </row>
    <row r="7" spans="1:7" x14ac:dyDescent="0.2">
      <c r="A7" s="27" t="s">
        <v>46</v>
      </c>
      <c r="B7" s="27" t="s">
        <v>219</v>
      </c>
      <c r="C7" s="52">
        <v>96</v>
      </c>
      <c r="D7" s="52">
        <v>7</v>
      </c>
      <c r="E7" s="52">
        <v>3</v>
      </c>
      <c r="F7" s="52">
        <v>0</v>
      </c>
      <c r="G7" s="55">
        <f t="shared" ref="G7:G25" si="0">F7/E7</f>
        <v>0</v>
      </c>
    </row>
    <row r="8" spans="1:7" x14ac:dyDescent="0.2">
      <c r="A8" s="27" t="s">
        <v>47</v>
      </c>
      <c r="B8" s="27" t="s">
        <v>220</v>
      </c>
      <c r="C8" s="52">
        <v>5</v>
      </c>
      <c r="D8" s="52" t="s">
        <v>19</v>
      </c>
      <c r="E8" s="52" t="s">
        <v>19</v>
      </c>
      <c r="F8" s="52" t="s">
        <v>19</v>
      </c>
      <c r="G8" s="55" t="s">
        <v>19</v>
      </c>
    </row>
    <row r="9" spans="1:7" x14ac:dyDescent="0.2">
      <c r="A9" s="27" t="s">
        <v>48</v>
      </c>
      <c r="B9" s="27" t="s">
        <v>221</v>
      </c>
      <c r="C9" s="52">
        <v>5</v>
      </c>
      <c r="D9" s="52" t="s">
        <v>19</v>
      </c>
      <c r="E9" s="52" t="s">
        <v>19</v>
      </c>
      <c r="F9" s="52" t="s">
        <v>19</v>
      </c>
      <c r="G9" s="55" t="s">
        <v>19</v>
      </c>
    </row>
    <row r="10" spans="1:7" x14ac:dyDescent="0.2">
      <c r="A10" s="27" t="s">
        <v>49</v>
      </c>
      <c r="B10" s="27" t="s">
        <v>49</v>
      </c>
      <c r="C10" s="52">
        <v>92409</v>
      </c>
      <c r="D10" s="52">
        <v>12956</v>
      </c>
      <c r="E10" s="52">
        <v>6238</v>
      </c>
      <c r="F10" s="52">
        <v>3682</v>
      </c>
      <c r="G10" s="55">
        <f t="shared" si="0"/>
        <v>0.59025328630971463</v>
      </c>
    </row>
    <row r="11" spans="1:7" x14ac:dyDescent="0.2">
      <c r="A11" s="27" t="s">
        <v>50</v>
      </c>
      <c r="B11" s="27" t="s">
        <v>50</v>
      </c>
      <c r="C11" s="52">
        <v>24335</v>
      </c>
      <c r="D11" s="52">
        <v>3634</v>
      </c>
      <c r="E11" s="52">
        <v>1864</v>
      </c>
      <c r="F11" s="52">
        <v>316</v>
      </c>
      <c r="G11" s="55">
        <f t="shared" si="0"/>
        <v>0.16952789699570817</v>
      </c>
    </row>
    <row r="12" spans="1:7" x14ac:dyDescent="0.2">
      <c r="A12" s="27" t="s">
        <v>51</v>
      </c>
      <c r="B12" s="27" t="s">
        <v>51</v>
      </c>
      <c r="C12" s="52">
        <v>7401</v>
      </c>
      <c r="D12" s="52">
        <v>1304</v>
      </c>
      <c r="E12" s="52">
        <v>756</v>
      </c>
      <c r="F12" s="52">
        <v>450</v>
      </c>
      <c r="G12" s="55">
        <f t="shared" si="0"/>
        <v>0.59523809523809523</v>
      </c>
    </row>
    <row r="13" spans="1:7" x14ac:dyDescent="0.2">
      <c r="A13" s="27" t="s">
        <v>52</v>
      </c>
      <c r="B13" s="27" t="s">
        <v>222</v>
      </c>
      <c r="C13" s="52">
        <v>11986</v>
      </c>
      <c r="D13" s="52">
        <v>782</v>
      </c>
      <c r="E13" s="52">
        <v>491</v>
      </c>
      <c r="F13" s="52">
        <v>44</v>
      </c>
      <c r="G13" s="55">
        <f t="shared" si="0"/>
        <v>8.9613034623217916E-2</v>
      </c>
    </row>
    <row r="14" spans="1:7" x14ac:dyDescent="0.2">
      <c r="A14" s="27" t="s">
        <v>53</v>
      </c>
      <c r="B14" s="27" t="s">
        <v>223</v>
      </c>
      <c r="C14" s="52">
        <v>1698</v>
      </c>
      <c r="D14" s="52">
        <v>153</v>
      </c>
      <c r="E14" s="52">
        <v>107</v>
      </c>
      <c r="F14" s="52">
        <v>56</v>
      </c>
      <c r="G14" s="55">
        <f t="shared" si="0"/>
        <v>0.52336448598130836</v>
      </c>
    </row>
    <row r="15" spans="1:7" x14ac:dyDescent="0.2">
      <c r="A15" s="27" t="s">
        <v>54</v>
      </c>
      <c r="B15" s="27" t="s">
        <v>224</v>
      </c>
      <c r="C15" s="52">
        <v>3585</v>
      </c>
      <c r="D15" s="52">
        <v>170</v>
      </c>
      <c r="E15" s="52">
        <v>124</v>
      </c>
      <c r="F15" s="52">
        <v>33</v>
      </c>
      <c r="G15" s="55">
        <f t="shared" si="0"/>
        <v>0.2661290322580645</v>
      </c>
    </row>
    <row r="16" spans="1:7" x14ac:dyDescent="0.2">
      <c r="A16" s="27" t="s">
        <v>78</v>
      </c>
      <c r="B16" s="27" t="s">
        <v>225</v>
      </c>
      <c r="C16" s="52">
        <v>922</v>
      </c>
      <c r="D16" s="52">
        <v>35</v>
      </c>
      <c r="E16" s="52">
        <v>20</v>
      </c>
      <c r="F16" s="52">
        <v>11</v>
      </c>
      <c r="G16" s="55">
        <f t="shared" si="0"/>
        <v>0.55000000000000004</v>
      </c>
    </row>
    <row r="17" spans="1:7" x14ac:dyDescent="0.2">
      <c r="A17" s="27" t="s">
        <v>79</v>
      </c>
      <c r="B17" s="27" t="s">
        <v>226</v>
      </c>
      <c r="C17" s="52">
        <v>1347</v>
      </c>
      <c r="D17" s="52">
        <v>123</v>
      </c>
      <c r="E17" s="52">
        <v>87</v>
      </c>
      <c r="F17" s="52">
        <v>69</v>
      </c>
      <c r="G17" s="55">
        <f t="shared" si="0"/>
        <v>0.7931034482758621</v>
      </c>
    </row>
    <row r="18" spans="1:7" x14ac:dyDescent="0.2">
      <c r="A18" s="27" t="s">
        <v>55</v>
      </c>
      <c r="B18" s="27" t="s">
        <v>227</v>
      </c>
      <c r="C18" s="52">
        <v>737</v>
      </c>
      <c r="D18" s="52">
        <v>59</v>
      </c>
      <c r="E18" s="52">
        <v>28</v>
      </c>
      <c r="F18" s="52">
        <v>22</v>
      </c>
      <c r="G18" s="55">
        <f t="shared" si="0"/>
        <v>0.7857142857142857</v>
      </c>
    </row>
    <row r="19" spans="1:7" x14ac:dyDescent="0.2">
      <c r="A19" s="27" t="s">
        <v>56</v>
      </c>
      <c r="B19" s="27" t="s">
        <v>228</v>
      </c>
      <c r="C19" s="52">
        <v>11335</v>
      </c>
      <c r="D19" s="52">
        <v>1448</v>
      </c>
      <c r="E19" s="52">
        <v>846</v>
      </c>
      <c r="F19" s="52">
        <v>319</v>
      </c>
      <c r="G19" s="55">
        <f t="shared" si="0"/>
        <v>0.37706855791962174</v>
      </c>
    </row>
    <row r="20" spans="1:7" x14ac:dyDescent="0.2">
      <c r="A20" s="27" t="s">
        <v>57</v>
      </c>
      <c r="B20" s="27" t="s">
        <v>229</v>
      </c>
      <c r="C20" s="52">
        <v>17873</v>
      </c>
      <c r="D20" s="52">
        <v>3103</v>
      </c>
      <c r="E20" s="52">
        <v>1772</v>
      </c>
      <c r="F20" s="52">
        <v>855</v>
      </c>
      <c r="G20" s="55">
        <f t="shared" si="0"/>
        <v>0.48250564334085777</v>
      </c>
    </row>
    <row r="21" spans="1:7" x14ac:dyDescent="0.2">
      <c r="A21" s="27" t="s">
        <v>58</v>
      </c>
      <c r="B21" s="27" t="s">
        <v>230</v>
      </c>
      <c r="C21" s="52">
        <v>5182</v>
      </c>
      <c r="D21" s="52">
        <v>689</v>
      </c>
      <c r="E21" s="52">
        <v>149</v>
      </c>
      <c r="F21" s="52">
        <v>42</v>
      </c>
      <c r="G21" s="55">
        <f t="shared" si="0"/>
        <v>0.28187919463087246</v>
      </c>
    </row>
    <row r="22" spans="1:7" x14ac:dyDescent="0.2">
      <c r="A22" s="5" t="s">
        <v>44</v>
      </c>
      <c r="B22" s="5" t="s">
        <v>231</v>
      </c>
      <c r="C22" s="48">
        <f>C23+C24+C25</f>
        <v>8640</v>
      </c>
      <c r="D22" s="48">
        <f>SUM(D23:D25)</f>
        <v>1199</v>
      </c>
      <c r="E22" s="48">
        <f>SUM(E23:E25)</f>
        <v>811</v>
      </c>
      <c r="F22" s="48">
        <f>SUM(F23:F25)</f>
        <v>188</v>
      </c>
      <c r="G22" s="58">
        <f t="shared" si="0"/>
        <v>0.23181257706535141</v>
      </c>
    </row>
    <row r="23" spans="1:7" x14ac:dyDescent="0.2">
      <c r="A23" s="27" t="s">
        <v>59</v>
      </c>
      <c r="B23" s="27" t="s">
        <v>232</v>
      </c>
      <c r="C23" s="52">
        <v>3597</v>
      </c>
      <c r="D23" s="52">
        <v>624</v>
      </c>
      <c r="E23" s="52">
        <v>467</v>
      </c>
      <c r="F23" s="52">
        <v>83</v>
      </c>
      <c r="G23" s="55">
        <f t="shared" si="0"/>
        <v>0.17773019271948609</v>
      </c>
    </row>
    <row r="24" spans="1:7" x14ac:dyDescent="0.2">
      <c r="A24" s="27" t="s">
        <v>60</v>
      </c>
      <c r="B24" s="27" t="s">
        <v>233</v>
      </c>
      <c r="C24" s="52">
        <v>3118</v>
      </c>
      <c r="D24" s="52">
        <v>428</v>
      </c>
      <c r="E24" s="52">
        <v>291</v>
      </c>
      <c r="F24" s="52">
        <v>101</v>
      </c>
      <c r="G24" s="55">
        <f t="shared" si="0"/>
        <v>0.34707903780068727</v>
      </c>
    </row>
    <row r="25" spans="1:7" x14ac:dyDescent="0.2">
      <c r="A25" s="27" t="s">
        <v>58</v>
      </c>
      <c r="B25" s="27" t="s">
        <v>230</v>
      </c>
      <c r="C25" s="52">
        <v>1925</v>
      </c>
      <c r="D25" s="52">
        <v>147</v>
      </c>
      <c r="E25" s="52">
        <v>53</v>
      </c>
      <c r="F25" s="52">
        <v>4</v>
      </c>
      <c r="G25" s="55">
        <f t="shared" si="0"/>
        <v>7.5471698113207544E-2</v>
      </c>
    </row>
    <row r="26" spans="1:7" x14ac:dyDescent="0.2">
      <c r="A26" s="2" t="s">
        <v>34</v>
      </c>
      <c r="B26" s="2"/>
      <c r="C26" s="41"/>
      <c r="F26" s="41"/>
    </row>
    <row r="27" spans="1:7" x14ac:dyDescent="0.2">
      <c r="A27" s="2" t="s">
        <v>82</v>
      </c>
      <c r="B27" s="2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activeCell="A3" sqref="A3"/>
    </sheetView>
  </sheetViews>
  <sheetFormatPr baseColWidth="10" defaultRowHeight="12.75" x14ac:dyDescent="0.2"/>
  <cols>
    <col min="1" max="1" width="123.7109375" customWidth="1"/>
  </cols>
  <sheetData>
    <row r="1" spans="1:1" x14ac:dyDescent="0.2">
      <c r="A1" s="1"/>
    </row>
    <row r="2" spans="1:1" x14ac:dyDescent="0.2">
      <c r="A2" s="14" t="s">
        <v>39</v>
      </c>
    </row>
    <row r="3" spans="1:1" x14ac:dyDescent="0.2">
      <c r="A3" s="1"/>
    </row>
    <row r="4" spans="1:1" x14ac:dyDescent="0.2">
      <c r="A4" s="1" t="s">
        <v>106</v>
      </c>
    </row>
    <row r="5" spans="1:1" x14ac:dyDescent="0.2">
      <c r="A5" s="1" t="s">
        <v>107</v>
      </c>
    </row>
    <row r="6" spans="1:1" x14ac:dyDescent="0.2">
      <c r="A6" s="7" t="s">
        <v>108</v>
      </c>
    </row>
    <row r="7" spans="1:1" x14ac:dyDescent="0.2">
      <c r="A7" s="1" t="s">
        <v>109</v>
      </c>
    </row>
    <row r="8" spans="1:1" x14ac:dyDescent="0.2">
      <c r="A8" s="1" t="s">
        <v>110</v>
      </c>
    </row>
    <row r="9" spans="1:1" x14ac:dyDescent="0.2">
      <c r="A9" s="7" t="s">
        <v>111</v>
      </c>
    </row>
    <row r="10" spans="1:1" x14ac:dyDescent="0.2">
      <c r="A10" s="1" t="s">
        <v>112</v>
      </c>
    </row>
    <row r="11" spans="1:1" x14ac:dyDescent="0.2">
      <c r="A11" s="1" t="s">
        <v>98</v>
      </c>
    </row>
    <row r="12" spans="1:1" x14ac:dyDescent="0.2">
      <c r="A12" s="1" t="s">
        <v>99</v>
      </c>
    </row>
    <row r="13" spans="1:1" x14ac:dyDescent="0.2">
      <c r="A13" s="16"/>
    </row>
    <row r="14" spans="1:1" x14ac:dyDescent="0.2">
      <c r="A14" s="16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G27"/>
  <sheetViews>
    <sheetView workbookViewId="0">
      <selection activeCell="A3" sqref="A3"/>
    </sheetView>
  </sheetViews>
  <sheetFormatPr baseColWidth="10" defaultRowHeight="12.75" x14ac:dyDescent="0.2"/>
  <cols>
    <col min="1" max="2" width="42.7109375" style="1" customWidth="1"/>
    <col min="3" max="3" width="11.42578125" style="1"/>
    <col min="4" max="4" width="11.5703125" style="1" customWidth="1"/>
    <col min="5" max="6" width="11.42578125" style="1"/>
    <col min="7" max="7" width="11.28515625" style="1" customWidth="1"/>
    <col min="8" max="16384" width="11.42578125" style="1"/>
  </cols>
  <sheetData>
    <row r="1" spans="1:7" x14ac:dyDescent="0.2">
      <c r="A1" s="5" t="s">
        <v>135</v>
      </c>
      <c r="B1" s="5"/>
    </row>
    <row r="2" spans="1:7" x14ac:dyDescent="0.2">
      <c r="A2" s="24" t="s">
        <v>136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43</v>
      </c>
      <c r="B6" s="5" t="s">
        <v>218</v>
      </c>
      <c r="C6" s="48">
        <f>SUM(C7:C21)</f>
        <v>166971</v>
      </c>
      <c r="D6" s="48">
        <f>SUM(D7:D21)</f>
        <v>22883</v>
      </c>
      <c r="E6" s="48">
        <f>SUM(E7:E21)</f>
        <v>12128</v>
      </c>
      <c r="F6" s="48">
        <f>SUM(F7:F21)</f>
        <v>5707</v>
      </c>
      <c r="G6" s="58">
        <f>F6/E6</f>
        <v>0.47056398416886541</v>
      </c>
    </row>
    <row r="7" spans="1:7" x14ac:dyDescent="0.2">
      <c r="A7" s="27" t="s">
        <v>46</v>
      </c>
      <c r="B7" s="27" t="s">
        <v>219</v>
      </c>
      <c r="C7" s="52">
        <v>79</v>
      </c>
      <c r="D7" s="52">
        <v>7</v>
      </c>
      <c r="E7" s="52">
        <v>5</v>
      </c>
      <c r="F7" s="52">
        <v>2</v>
      </c>
      <c r="G7" s="55">
        <f t="shared" ref="G7:G25" si="0">F7/E7</f>
        <v>0.4</v>
      </c>
    </row>
    <row r="8" spans="1:7" x14ac:dyDescent="0.2">
      <c r="A8" s="27" t="s">
        <v>47</v>
      </c>
      <c r="B8" s="27" t="s">
        <v>220</v>
      </c>
      <c r="C8" s="52" t="s">
        <v>19</v>
      </c>
      <c r="D8" s="52" t="s">
        <v>19</v>
      </c>
      <c r="E8" s="52" t="s">
        <v>19</v>
      </c>
      <c r="F8" s="52" t="s">
        <v>19</v>
      </c>
      <c r="G8" s="55" t="s">
        <v>19</v>
      </c>
    </row>
    <row r="9" spans="1:7" x14ac:dyDescent="0.2">
      <c r="A9" s="27" t="s">
        <v>48</v>
      </c>
      <c r="B9" s="27" t="s">
        <v>221</v>
      </c>
      <c r="C9" s="52">
        <v>76</v>
      </c>
      <c r="D9" s="52" t="s">
        <v>19</v>
      </c>
      <c r="E9" s="52" t="s">
        <v>19</v>
      </c>
      <c r="F9" s="52" t="s">
        <v>19</v>
      </c>
      <c r="G9" s="55" t="s">
        <v>19</v>
      </c>
    </row>
    <row r="10" spans="1:7" x14ac:dyDescent="0.2">
      <c r="A10" s="27" t="s">
        <v>49</v>
      </c>
      <c r="B10" s="27" t="s">
        <v>49</v>
      </c>
      <c r="C10" s="52">
        <v>84699</v>
      </c>
      <c r="D10" s="52">
        <v>11532</v>
      </c>
      <c r="E10" s="52">
        <v>5664</v>
      </c>
      <c r="F10" s="52">
        <v>3296</v>
      </c>
      <c r="G10" s="55">
        <f>F10/E10</f>
        <v>0.58192090395480223</v>
      </c>
    </row>
    <row r="11" spans="1:7" x14ac:dyDescent="0.2">
      <c r="A11" s="27" t="s">
        <v>50</v>
      </c>
      <c r="B11" s="27" t="s">
        <v>50</v>
      </c>
      <c r="C11" s="52">
        <v>21432</v>
      </c>
      <c r="D11" s="52">
        <v>3427</v>
      </c>
      <c r="E11" s="52">
        <v>1631</v>
      </c>
      <c r="F11" s="52">
        <v>379</v>
      </c>
      <c r="G11" s="55">
        <f t="shared" si="0"/>
        <v>0.23237277743715512</v>
      </c>
    </row>
    <row r="12" spans="1:7" x14ac:dyDescent="0.2">
      <c r="A12" s="27" t="s">
        <v>51</v>
      </c>
      <c r="B12" s="27" t="s">
        <v>51</v>
      </c>
      <c r="C12" s="52">
        <v>7925</v>
      </c>
      <c r="D12" s="52">
        <v>1534</v>
      </c>
      <c r="E12" s="52">
        <v>1060</v>
      </c>
      <c r="F12" s="52">
        <v>727</v>
      </c>
      <c r="G12" s="55">
        <f t="shared" si="0"/>
        <v>0.6858490566037736</v>
      </c>
    </row>
    <row r="13" spans="1:7" x14ac:dyDescent="0.2">
      <c r="A13" s="27" t="s">
        <v>52</v>
      </c>
      <c r="B13" s="27" t="s">
        <v>222</v>
      </c>
      <c r="C13" s="52">
        <v>10748</v>
      </c>
      <c r="D13" s="52">
        <v>737</v>
      </c>
      <c r="E13" s="52">
        <v>461</v>
      </c>
      <c r="F13" s="52">
        <v>8</v>
      </c>
      <c r="G13" s="55">
        <f t="shared" si="0"/>
        <v>1.735357917570499E-2</v>
      </c>
    </row>
    <row r="14" spans="1:7" x14ac:dyDescent="0.2">
      <c r="A14" s="27" t="s">
        <v>53</v>
      </c>
      <c r="B14" s="27" t="s">
        <v>223</v>
      </c>
      <c r="C14" s="52">
        <v>1661</v>
      </c>
      <c r="D14" s="52">
        <v>124</v>
      </c>
      <c r="E14" s="52">
        <v>56</v>
      </c>
      <c r="F14" s="52">
        <v>25</v>
      </c>
      <c r="G14" s="55">
        <f t="shared" si="0"/>
        <v>0.44642857142857145</v>
      </c>
    </row>
    <row r="15" spans="1:7" x14ac:dyDescent="0.2">
      <c r="A15" s="27" t="s">
        <v>54</v>
      </c>
      <c r="B15" s="27" t="s">
        <v>224</v>
      </c>
      <c r="C15" s="52">
        <v>3746</v>
      </c>
      <c r="D15" s="52">
        <v>186</v>
      </c>
      <c r="E15" s="52">
        <v>166</v>
      </c>
      <c r="F15" s="52">
        <v>101</v>
      </c>
      <c r="G15" s="55">
        <f t="shared" si="0"/>
        <v>0.60843373493975905</v>
      </c>
    </row>
    <row r="16" spans="1:7" x14ac:dyDescent="0.2">
      <c r="A16" s="27" t="s">
        <v>78</v>
      </c>
      <c r="B16" s="27" t="s">
        <v>225</v>
      </c>
      <c r="C16" s="52">
        <v>816</v>
      </c>
      <c r="D16" s="52">
        <v>62</v>
      </c>
      <c r="E16" s="52">
        <v>29</v>
      </c>
      <c r="F16" s="52">
        <v>14</v>
      </c>
      <c r="G16" s="55">
        <f t="shared" si="0"/>
        <v>0.48275862068965519</v>
      </c>
    </row>
    <row r="17" spans="1:7" x14ac:dyDescent="0.2">
      <c r="A17" s="27" t="s">
        <v>79</v>
      </c>
      <c r="B17" s="27" t="s">
        <v>226</v>
      </c>
      <c r="C17" s="52">
        <v>1139</v>
      </c>
      <c r="D17" s="52">
        <v>64</v>
      </c>
      <c r="E17" s="52">
        <v>40</v>
      </c>
      <c r="F17" s="52">
        <v>5</v>
      </c>
      <c r="G17" s="55">
        <f t="shared" si="0"/>
        <v>0.125</v>
      </c>
    </row>
    <row r="18" spans="1:7" x14ac:dyDescent="0.2">
      <c r="A18" s="27" t="s">
        <v>55</v>
      </c>
      <c r="B18" s="27" t="s">
        <v>227</v>
      </c>
      <c r="C18" s="52">
        <v>567</v>
      </c>
      <c r="D18" s="52">
        <v>32</v>
      </c>
      <c r="E18" s="52">
        <v>9</v>
      </c>
      <c r="F18" s="52">
        <v>0</v>
      </c>
      <c r="G18" s="55">
        <f t="shared" si="0"/>
        <v>0</v>
      </c>
    </row>
    <row r="19" spans="1:7" x14ac:dyDescent="0.2">
      <c r="A19" s="27" t="s">
        <v>56</v>
      </c>
      <c r="B19" s="27" t="s">
        <v>228</v>
      </c>
      <c r="C19" s="52">
        <v>11315</v>
      </c>
      <c r="D19" s="52">
        <v>1578</v>
      </c>
      <c r="E19" s="52">
        <v>867</v>
      </c>
      <c r="F19" s="52">
        <v>252</v>
      </c>
      <c r="G19" s="55">
        <f t="shared" si="0"/>
        <v>0.29065743944636679</v>
      </c>
    </row>
    <row r="20" spans="1:7" x14ac:dyDescent="0.2">
      <c r="A20" s="27" t="s">
        <v>57</v>
      </c>
      <c r="B20" s="27" t="s">
        <v>229</v>
      </c>
      <c r="C20" s="52">
        <v>18193</v>
      </c>
      <c r="D20" s="52">
        <v>3180</v>
      </c>
      <c r="E20" s="52">
        <v>1980</v>
      </c>
      <c r="F20" s="52">
        <v>840</v>
      </c>
      <c r="G20" s="55">
        <f t="shared" si="0"/>
        <v>0.42424242424242425</v>
      </c>
    </row>
    <row r="21" spans="1:7" x14ac:dyDescent="0.2">
      <c r="A21" s="27" t="s">
        <v>58</v>
      </c>
      <c r="B21" s="27" t="s">
        <v>230</v>
      </c>
      <c r="C21" s="52">
        <v>4575</v>
      </c>
      <c r="D21" s="52">
        <v>420</v>
      </c>
      <c r="E21" s="52">
        <v>160</v>
      </c>
      <c r="F21" s="52">
        <v>58</v>
      </c>
      <c r="G21" s="55">
        <f t="shared" si="0"/>
        <v>0.36249999999999999</v>
      </c>
    </row>
    <row r="22" spans="1:7" x14ac:dyDescent="0.2">
      <c r="A22" s="5" t="s">
        <v>44</v>
      </c>
      <c r="B22" s="5" t="s">
        <v>231</v>
      </c>
      <c r="C22" s="48">
        <f>SUM(C23:C25)</f>
        <v>7572</v>
      </c>
      <c r="D22" s="48">
        <f>SUM(D23:D25)</f>
        <v>1014</v>
      </c>
      <c r="E22" s="48">
        <f>SUM(E23:E25)</f>
        <v>676</v>
      </c>
      <c r="F22" s="48">
        <f>SUM(F23:F25)</f>
        <v>158</v>
      </c>
      <c r="G22" s="58">
        <f t="shared" si="0"/>
        <v>0.23372781065088757</v>
      </c>
    </row>
    <row r="23" spans="1:7" x14ac:dyDescent="0.2">
      <c r="A23" s="27" t="s">
        <v>59</v>
      </c>
      <c r="B23" s="27" t="s">
        <v>232</v>
      </c>
      <c r="C23" s="52">
        <v>3151</v>
      </c>
      <c r="D23" s="52">
        <v>550</v>
      </c>
      <c r="E23" s="52">
        <v>383</v>
      </c>
      <c r="F23" s="52">
        <v>95</v>
      </c>
      <c r="G23" s="55">
        <f t="shared" si="0"/>
        <v>0.24804177545691905</v>
      </c>
    </row>
    <row r="24" spans="1:7" x14ac:dyDescent="0.2">
      <c r="A24" s="27" t="s">
        <v>60</v>
      </c>
      <c r="B24" s="27" t="s">
        <v>233</v>
      </c>
      <c r="C24" s="52">
        <v>2890</v>
      </c>
      <c r="D24" s="52">
        <v>369</v>
      </c>
      <c r="E24" s="52">
        <v>245</v>
      </c>
      <c r="F24" s="52">
        <v>63</v>
      </c>
      <c r="G24" s="55">
        <f t="shared" si="0"/>
        <v>0.25714285714285712</v>
      </c>
    </row>
    <row r="25" spans="1:7" x14ac:dyDescent="0.2">
      <c r="A25" s="27" t="s">
        <v>58</v>
      </c>
      <c r="B25" s="27" t="s">
        <v>230</v>
      </c>
      <c r="C25" s="52">
        <v>1531</v>
      </c>
      <c r="D25" s="52">
        <v>95</v>
      </c>
      <c r="E25" s="52">
        <v>48</v>
      </c>
      <c r="F25" s="52">
        <v>0</v>
      </c>
      <c r="G25" s="55">
        <f t="shared" si="0"/>
        <v>0</v>
      </c>
    </row>
    <row r="26" spans="1:7" x14ac:dyDescent="0.2">
      <c r="A26" s="2" t="s">
        <v>34</v>
      </c>
      <c r="B26" s="2"/>
      <c r="C26" s="3"/>
    </row>
    <row r="27" spans="1:7" x14ac:dyDescent="0.2">
      <c r="A27" s="2" t="s">
        <v>82</v>
      </c>
      <c r="B27" s="2"/>
    </row>
  </sheetData>
  <pageMargins left="0.75" right="0.75" top="1" bottom="1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G27"/>
  <sheetViews>
    <sheetView workbookViewId="0">
      <selection activeCell="A3" sqref="A3"/>
    </sheetView>
  </sheetViews>
  <sheetFormatPr baseColWidth="10" defaultRowHeight="12.75" x14ac:dyDescent="0.2"/>
  <cols>
    <col min="1" max="2" width="42.7109375" style="1" customWidth="1"/>
    <col min="3" max="3" width="11.42578125" style="1"/>
    <col min="4" max="4" width="11.5703125" style="1" customWidth="1"/>
    <col min="5" max="6" width="11.42578125" style="1"/>
    <col min="7" max="7" width="11.28515625" style="1" customWidth="1"/>
    <col min="8" max="16384" width="11.42578125" style="1"/>
  </cols>
  <sheetData>
    <row r="1" spans="1:7" x14ac:dyDescent="0.2">
      <c r="A1" s="5" t="s">
        <v>137</v>
      </c>
      <c r="B1" s="5"/>
    </row>
    <row r="2" spans="1:7" x14ac:dyDescent="0.2">
      <c r="A2" s="24" t="s">
        <v>138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43</v>
      </c>
      <c r="B6" s="5" t="s">
        <v>218</v>
      </c>
      <c r="C6" s="48">
        <f>SUM(C7:C21)</f>
        <v>178969</v>
      </c>
      <c r="D6" s="48">
        <f>SUM(D7:D21)</f>
        <v>24186</v>
      </c>
      <c r="E6" s="48">
        <f>SUM(E7:E21)</f>
        <v>13245</v>
      </c>
      <c r="F6" s="48">
        <f>SUM(F7:F21)</f>
        <v>5948</v>
      </c>
      <c r="G6" s="58">
        <f>F6/E6</f>
        <v>0.44907512268780669</v>
      </c>
    </row>
    <row r="7" spans="1:7" x14ac:dyDescent="0.2">
      <c r="A7" s="27" t="s">
        <v>46</v>
      </c>
      <c r="B7" s="27" t="s">
        <v>219</v>
      </c>
      <c r="C7" s="52">
        <v>69</v>
      </c>
      <c r="D7" s="52">
        <v>9</v>
      </c>
      <c r="E7" s="52">
        <v>6</v>
      </c>
      <c r="F7" s="52">
        <v>1</v>
      </c>
      <c r="G7" s="55">
        <f t="shared" ref="G7:G25" si="0">F7/E7</f>
        <v>0.16666666666666666</v>
      </c>
    </row>
    <row r="8" spans="1:7" x14ac:dyDescent="0.2">
      <c r="A8" s="27" t="s">
        <v>47</v>
      </c>
      <c r="B8" s="27" t="s">
        <v>220</v>
      </c>
      <c r="C8" s="52" t="s">
        <v>19</v>
      </c>
      <c r="D8" s="52" t="s">
        <v>19</v>
      </c>
      <c r="E8" s="52" t="s">
        <v>19</v>
      </c>
      <c r="F8" s="52" t="s">
        <v>19</v>
      </c>
      <c r="G8" s="55" t="s">
        <v>19</v>
      </c>
    </row>
    <row r="9" spans="1:7" x14ac:dyDescent="0.2">
      <c r="A9" s="27" t="s">
        <v>48</v>
      </c>
      <c r="B9" s="27" t="s">
        <v>221</v>
      </c>
      <c r="C9" s="52">
        <v>4</v>
      </c>
      <c r="D9" s="52" t="s">
        <v>19</v>
      </c>
      <c r="E9" s="52" t="s">
        <v>19</v>
      </c>
      <c r="F9" s="52" t="s">
        <v>19</v>
      </c>
      <c r="G9" s="55" t="s">
        <v>19</v>
      </c>
    </row>
    <row r="10" spans="1:7" x14ac:dyDescent="0.2">
      <c r="A10" s="27" t="s">
        <v>49</v>
      </c>
      <c r="B10" s="27" t="s">
        <v>49</v>
      </c>
      <c r="C10" s="52">
        <v>86640</v>
      </c>
      <c r="D10" s="52">
        <v>12209</v>
      </c>
      <c r="E10" s="52">
        <v>6437</v>
      </c>
      <c r="F10" s="52">
        <v>3083</v>
      </c>
      <c r="G10" s="55">
        <f t="shared" si="0"/>
        <v>0.47894982134534719</v>
      </c>
    </row>
    <row r="11" spans="1:7" x14ac:dyDescent="0.2">
      <c r="A11" s="27" t="s">
        <v>50</v>
      </c>
      <c r="B11" s="27" t="s">
        <v>50</v>
      </c>
      <c r="C11" s="52">
        <v>26164</v>
      </c>
      <c r="D11" s="52">
        <v>3523</v>
      </c>
      <c r="E11" s="52">
        <v>2130</v>
      </c>
      <c r="F11" s="52">
        <v>737</v>
      </c>
      <c r="G11" s="55">
        <f t="shared" si="0"/>
        <v>0.34600938967136152</v>
      </c>
    </row>
    <row r="12" spans="1:7" x14ac:dyDescent="0.2">
      <c r="A12" s="27" t="s">
        <v>51</v>
      </c>
      <c r="B12" s="27" t="s">
        <v>51</v>
      </c>
      <c r="C12" s="52">
        <v>8922</v>
      </c>
      <c r="D12" s="52">
        <v>984</v>
      </c>
      <c r="E12" s="52">
        <v>594</v>
      </c>
      <c r="F12" s="52">
        <v>439</v>
      </c>
      <c r="G12" s="55">
        <f t="shared" si="0"/>
        <v>0.73905723905723908</v>
      </c>
    </row>
    <row r="13" spans="1:7" x14ac:dyDescent="0.2">
      <c r="A13" s="27" t="s">
        <v>52</v>
      </c>
      <c r="B13" s="27" t="s">
        <v>222</v>
      </c>
      <c r="C13" s="52">
        <v>10701</v>
      </c>
      <c r="D13" s="52">
        <v>1007</v>
      </c>
      <c r="E13" s="52">
        <v>604</v>
      </c>
      <c r="F13" s="52">
        <v>66</v>
      </c>
      <c r="G13" s="55">
        <f t="shared" si="0"/>
        <v>0.10927152317880795</v>
      </c>
    </row>
    <row r="14" spans="1:7" x14ac:dyDescent="0.2">
      <c r="A14" s="27" t="s">
        <v>53</v>
      </c>
      <c r="B14" s="27" t="s">
        <v>223</v>
      </c>
      <c r="C14" s="52">
        <v>1859</v>
      </c>
      <c r="D14" s="52">
        <v>110</v>
      </c>
      <c r="E14" s="52">
        <v>57</v>
      </c>
      <c r="F14" s="52">
        <v>23</v>
      </c>
      <c r="G14" s="55">
        <f t="shared" si="0"/>
        <v>0.40350877192982454</v>
      </c>
    </row>
    <row r="15" spans="1:7" x14ac:dyDescent="0.2">
      <c r="A15" s="27" t="s">
        <v>54</v>
      </c>
      <c r="B15" s="27" t="s">
        <v>224</v>
      </c>
      <c r="C15" s="52">
        <v>2850</v>
      </c>
      <c r="D15" s="52">
        <v>177</v>
      </c>
      <c r="E15" s="52">
        <v>78</v>
      </c>
      <c r="F15" s="52">
        <v>55</v>
      </c>
      <c r="G15" s="55">
        <f t="shared" si="0"/>
        <v>0.70512820512820518</v>
      </c>
    </row>
    <row r="16" spans="1:7" x14ac:dyDescent="0.2">
      <c r="A16" s="27" t="s">
        <v>78</v>
      </c>
      <c r="B16" s="27" t="s">
        <v>225</v>
      </c>
      <c r="C16" s="52">
        <v>1010</v>
      </c>
      <c r="D16" s="52">
        <v>67</v>
      </c>
      <c r="E16" s="52">
        <v>21</v>
      </c>
      <c r="F16" s="52">
        <v>10</v>
      </c>
      <c r="G16" s="55">
        <f t="shared" si="0"/>
        <v>0.47619047619047616</v>
      </c>
    </row>
    <row r="17" spans="1:7" x14ac:dyDescent="0.2">
      <c r="A17" s="27" t="s">
        <v>79</v>
      </c>
      <c r="B17" s="27" t="s">
        <v>226</v>
      </c>
      <c r="C17" s="52">
        <v>1117</v>
      </c>
      <c r="D17" s="52">
        <v>132</v>
      </c>
      <c r="E17" s="52">
        <v>27</v>
      </c>
      <c r="F17" s="52">
        <v>3</v>
      </c>
      <c r="G17" s="55">
        <f t="shared" si="0"/>
        <v>0.1111111111111111</v>
      </c>
    </row>
    <row r="18" spans="1:7" x14ac:dyDescent="0.2">
      <c r="A18" s="27" t="s">
        <v>55</v>
      </c>
      <c r="B18" s="27" t="s">
        <v>227</v>
      </c>
      <c r="C18" s="52">
        <v>717</v>
      </c>
      <c r="D18" s="52">
        <v>44</v>
      </c>
      <c r="E18" s="52">
        <v>30</v>
      </c>
      <c r="F18" s="52">
        <v>7</v>
      </c>
      <c r="G18" s="55">
        <f t="shared" si="0"/>
        <v>0.23333333333333334</v>
      </c>
    </row>
    <row r="19" spans="1:7" x14ac:dyDescent="0.2">
      <c r="A19" s="27" t="s">
        <v>56</v>
      </c>
      <c r="B19" s="27" t="s">
        <v>228</v>
      </c>
      <c r="C19" s="52">
        <v>13563</v>
      </c>
      <c r="D19" s="52">
        <v>1820</v>
      </c>
      <c r="E19" s="52">
        <v>846</v>
      </c>
      <c r="F19" s="52">
        <v>294</v>
      </c>
      <c r="G19" s="55">
        <f t="shared" si="0"/>
        <v>0.3475177304964539</v>
      </c>
    </row>
    <row r="20" spans="1:7" x14ac:dyDescent="0.2">
      <c r="A20" s="27" t="s">
        <v>57</v>
      </c>
      <c r="B20" s="27" t="s">
        <v>229</v>
      </c>
      <c r="C20" s="52">
        <v>20112</v>
      </c>
      <c r="D20" s="52">
        <v>3610</v>
      </c>
      <c r="E20" s="52">
        <v>2248</v>
      </c>
      <c r="F20" s="52">
        <v>1171</v>
      </c>
      <c r="G20" s="55">
        <f t="shared" si="0"/>
        <v>0.52090747330960852</v>
      </c>
    </row>
    <row r="21" spans="1:7" x14ac:dyDescent="0.2">
      <c r="A21" s="27" t="s">
        <v>58</v>
      </c>
      <c r="B21" s="27" t="s">
        <v>230</v>
      </c>
      <c r="C21" s="52">
        <v>5241</v>
      </c>
      <c r="D21" s="52">
        <v>494</v>
      </c>
      <c r="E21" s="52">
        <v>167</v>
      </c>
      <c r="F21" s="52">
        <v>59</v>
      </c>
      <c r="G21" s="55">
        <f t="shared" si="0"/>
        <v>0.3532934131736527</v>
      </c>
    </row>
    <row r="22" spans="1:7" x14ac:dyDescent="0.2">
      <c r="A22" s="5" t="s">
        <v>44</v>
      </c>
      <c r="B22" s="5" t="s">
        <v>231</v>
      </c>
      <c r="C22" s="48">
        <f>SUM(C23:C25)</f>
        <v>8577</v>
      </c>
      <c r="D22" s="48">
        <f>SUM(D23:D25)</f>
        <v>1173</v>
      </c>
      <c r="E22" s="48">
        <f>SUM(E23:E25)</f>
        <v>766</v>
      </c>
      <c r="F22" s="48">
        <f>SUM(F23:F25)</f>
        <v>179</v>
      </c>
      <c r="G22" s="58">
        <f t="shared" si="0"/>
        <v>0.23368146214099217</v>
      </c>
    </row>
    <row r="23" spans="1:7" x14ac:dyDescent="0.2">
      <c r="A23" s="27" t="s">
        <v>59</v>
      </c>
      <c r="B23" s="27" t="s">
        <v>232</v>
      </c>
      <c r="C23" s="52">
        <v>3567</v>
      </c>
      <c r="D23" s="52">
        <v>630</v>
      </c>
      <c r="E23" s="52">
        <v>473</v>
      </c>
      <c r="F23" s="52">
        <v>79</v>
      </c>
      <c r="G23" s="55">
        <f t="shared" si="0"/>
        <v>0.16701902748414377</v>
      </c>
    </row>
    <row r="24" spans="1:7" x14ac:dyDescent="0.2">
      <c r="A24" s="27" t="s">
        <v>60</v>
      </c>
      <c r="B24" s="27" t="s">
        <v>233</v>
      </c>
      <c r="C24" s="52">
        <v>3168</v>
      </c>
      <c r="D24" s="52">
        <v>397</v>
      </c>
      <c r="E24" s="52">
        <v>209</v>
      </c>
      <c r="F24" s="52">
        <v>91</v>
      </c>
      <c r="G24" s="55">
        <f t="shared" si="0"/>
        <v>0.4354066985645933</v>
      </c>
    </row>
    <row r="25" spans="1:7" x14ac:dyDescent="0.2">
      <c r="A25" s="27" t="s">
        <v>58</v>
      </c>
      <c r="B25" s="27" t="s">
        <v>230</v>
      </c>
      <c r="C25" s="52">
        <v>1842</v>
      </c>
      <c r="D25" s="52">
        <v>146</v>
      </c>
      <c r="E25" s="52">
        <v>84</v>
      </c>
      <c r="F25" s="52">
        <v>9</v>
      </c>
      <c r="G25" s="55">
        <f t="shared" si="0"/>
        <v>0.10714285714285714</v>
      </c>
    </row>
    <row r="26" spans="1:7" x14ac:dyDescent="0.2">
      <c r="A26" s="2" t="s">
        <v>34</v>
      </c>
      <c r="B26" s="2"/>
      <c r="C26" s="3"/>
    </row>
    <row r="27" spans="1:7" x14ac:dyDescent="0.2">
      <c r="A27" s="2" t="s">
        <v>82</v>
      </c>
      <c r="B27" s="2"/>
    </row>
  </sheetData>
  <pageMargins left="0.75" right="0.75" top="1" bottom="1" header="0" footer="0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G27"/>
  <sheetViews>
    <sheetView workbookViewId="0">
      <selection activeCell="A3" sqref="A3"/>
    </sheetView>
  </sheetViews>
  <sheetFormatPr baseColWidth="10" defaultRowHeight="12.75" x14ac:dyDescent="0.2"/>
  <cols>
    <col min="1" max="2" width="42.7109375" style="1" customWidth="1"/>
    <col min="3" max="3" width="11.42578125" style="1"/>
    <col min="4" max="4" width="11.5703125" style="1" customWidth="1"/>
    <col min="5" max="6" width="11.42578125" style="1"/>
    <col min="7" max="7" width="11.28515625" style="1" customWidth="1"/>
    <col min="8" max="16384" width="11.42578125" style="1"/>
  </cols>
  <sheetData>
    <row r="1" spans="1:7" x14ac:dyDescent="0.2">
      <c r="A1" s="5" t="s">
        <v>139</v>
      </c>
      <c r="B1" s="5"/>
    </row>
    <row r="2" spans="1:7" x14ac:dyDescent="0.2">
      <c r="A2" s="24" t="s">
        <v>140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43</v>
      </c>
      <c r="B6" s="5" t="s">
        <v>218</v>
      </c>
      <c r="C6" s="48">
        <f>SUM(C7:C21)</f>
        <v>199411</v>
      </c>
      <c r="D6" s="48">
        <f>SUM(D7:D21)</f>
        <v>28849</v>
      </c>
      <c r="E6" s="48">
        <f>SUM(E7:E21)</f>
        <v>14012</v>
      </c>
      <c r="F6" s="48">
        <f>SUM(F7:F21)</f>
        <v>6115</v>
      </c>
      <c r="G6" s="57">
        <f>F6/E6</f>
        <v>0.43641164715957753</v>
      </c>
    </row>
    <row r="7" spans="1:7" x14ac:dyDescent="0.2">
      <c r="A7" s="27" t="s">
        <v>46</v>
      </c>
      <c r="B7" s="27" t="s">
        <v>219</v>
      </c>
      <c r="C7" s="52">
        <v>80</v>
      </c>
      <c r="D7" s="52">
        <v>3</v>
      </c>
      <c r="E7" s="52">
        <v>1</v>
      </c>
      <c r="F7" s="52">
        <v>0</v>
      </c>
      <c r="G7" s="53">
        <f t="shared" ref="G7:G25" si="0">F7/E7</f>
        <v>0</v>
      </c>
    </row>
    <row r="8" spans="1:7" x14ac:dyDescent="0.2">
      <c r="A8" s="27" t="s">
        <v>47</v>
      </c>
      <c r="B8" s="27" t="s">
        <v>220</v>
      </c>
      <c r="C8" s="52">
        <v>1</v>
      </c>
      <c r="D8" s="52" t="s">
        <v>19</v>
      </c>
      <c r="E8" s="52" t="s">
        <v>19</v>
      </c>
      <c r="F8" s="52" t="s">
        <v>19</v>
      </c>
      <c r="G8" s="53" t="s">
        <v>19</v>
      </c>
    </row>
    <row r="9" spans="1:7" x14ac:dyDescent="0.2">
      <c r="A9" s="27" t="s">
        <v>48</v>
      </c>
      <c r="B9" s="27" t="s">
        <v>221</v>
      </c>
      <c r="C9" s="52">
        <v>4</v>
      </c>
      <c r="D9" s="52" t="s">
        <v>19</v>
      </c>
      <c r="E9" s="52" t="s">
        <v>19</v>
      </c>
      <c r="F9" s="52" t="s">
        <v>19</v>
      </c>
      <c r="G9" s="53" t="s">
        <v>19</v>
      </c>
    </row>
    <row r="10" spans="1:7" x14ac:dyDescent="0.2">
      <c r="A10" s="27" t="s">
        <v>49</v>
      </c>
      <c r="B10" s="27" t="s">
        <v>49</v>
      </c>
      <c r="C10" s="52">
        <v>94374</v>
      </c>
      <c r="D10" s="52">
        <v>12696</v>
      </c>
      <c r="E10" s="52">
        <v>6371</v>
      </c>
      <c r="F10" s="52">
        <v>2849</v>
      </c>
      <c r="G10" s="53">
        <f t="shared" si="0"/>
        <v>0.44718254591115997</v>
      </c>
    </row>
    <row r="11" spans="1:7" x14ac:dyDescent="0.2">
      <c r="A11" s="27" t="s">
        <v>50</v>
      </c>
      <c r="B11" s="27" t="s">
        <v>50</v>
      </c>
      <c r="C11" s="52">
        <v>29181</v>
      </c>
      <c r="D11" s="52">
        <v>4250</v>
      </c>
      <c r="E11" s="52">
        <v>1654</v>
      </c>
      <c r="F11" s="52">
        <v>305</v>
      </c>
      <c r="G11" s="53">
        <f t="shared" si="0"/>
        <v>0.18440145102781136</v>
      </c>
    </row>
    <row r="12" spans="1:7" x14ac:dyDescent="0.2">
      <c r="A12" s="27" t="s">
        <v>51</v>
      </c>
      <c r="B12" s="27" t="s">
        <v>51</v>
      </c>
      <c r="C12" s="52">
        <v>9511</v>
      </c>
      <c r="D12" s="52">
        <v>1645</v>
      </c>
      <c r="E12" s="52">
        <v>1377</v>
      </c>
      <c r="F12" s="52">
        <v>1167</v>
      </c>
      <c r="G12" s="53">
        <f t="shared" si="0"/>
        <v>0.84749455337690627</v>
      </c>
    </row>
    <row r="13" spans="1:7" x14ac:dyDescent="0.2">
      <c r="A13" s="27" t="s">
        <v>52</v>
      </c>
      <c r="B13" s="27" t="s">
        <v>222</v>
      </c>
      <c r="C13" s="52">
        <v>11145</v>
      </c>
      <c r="D13" s="52">
        <v>1141</v>
      </c>
      <c r="E13" s="52">
        <v>731</v>
      </c>
      <c r="F13" s="52">
        <v>176</v>
      </c>
      <c r="G13" s="53">
        <f t="shared" si="0"/>
        <v>0.24076607387140903</v>
      </c>
    </row>
    <row r="14" spans="1:7" x14ac:dyDescent="0.2">
      <c r="A14" s="27" t="s">
        <v>53</v>
      </c>
      <c r="B14" s="27" t="s">
        <v>223</v>
      </c>
      <c r="C14" s="52">
        <v>2140</v>
      </c>
      <c r="D14" s="52">
        <v>249</v>
      </c>
      <c r="E14" s="52">
        <v>137</v>
      </c>
      <c r="F14" s="52">
        <v>49</v>
      </c>
      <c r="G14" s="53">
        <f t="shared" si="0"/>
        <v>0.35766423357664234</v>
      </c>
    </row>
    <row r="15" spans="1:7" x14ac:dyDescent="0.2">
      <c r="A15" s="27" t="s">
        <v>54</v>
      </c>
      <c r="B15" s="27" t="s">
        <v>224</v>
      </c>
      <c r="C15" s="52">
        <v>3921</v>
      </c>
      <c r="D15" s="52">
        <v>371</v>
      </c>
      <c r="E15" s="52">
        <v>120</v>
      </c>
      <c r="F15" s="52">
        <v>66</v>
      </c>
      <c r="G15" s="53">
        <f t="shared" si="0"/>
        <v>0.55000000000000004</v>
      </c>
    </row>
    <row r="16" spans="1:7" x14ac:dyDescent="0.2">
      <c r="A16" s="27" t="s">
        <v>78</v>
      </c>
      <c r="B16" s="27" t="s">
        <v>225</v>
      </c>
      <c r="C16" s="52">
        <v>1000</v>
      </c>
      <c r="D16" s="52">
        <v>63</v>
      </c>
      <c r="E16" s="52">
        <v>29</v>
      </c>
      <c r="F16" s="52">
        <v>24</v>
      </c>
      <c r="G16" s="53">
        <f t="shared" si="0"/>
        <v>0.82758620689655171</v>
      </c>
    </row>
    <row r="17" spans="1:7" x14ac:dyDescent="0.2">
      <c r="A17" s="27" t="s">
        <v>79</v>
      </c>
      <c r="B17" s="27" t="s">
        <v>226</v>
      </c>
      <c r="C17" s="52">
        <v>1771</v>
      </c>
      <c r="D17" s="52">
        <v>223</v>
      </c>
      <c r="E17" s="52">
        <v>111</v>
      </c>
      <c r="F17" s="52">
        <v>84</v>
      </c>
      <c r="G17" s="53">
        <f t="shared" si="0"/>
        <v>0.7567567567567568</v>
      </c>
    </row>
    <row r="18" spans="1:7" x14ac:dyDescent="0.2">
      <c r="A18" s="27" t="s">
        <v>55</v>
      </c>
      <c r="B18" s="27" t="s">
        <v>227</v>
      </c>
      <c r="C18" s="52">
        <v>1022</v>
      </c>
      <c r="D18" s="52">
        <v>97</v>
      </c>
      <c r="E18" s="52">
        <v>38</v>
      </c>
      <c r="F18" s="52">
        <v>9</v>
      </c>
      <c r="G18" s="53">
        <f t="shared" si="0"/>
        <v>0.23684210526315788</v>
      </c>
    </row>
    <row r="19" spans="1:7" x14ac:dyDescent="0.2">
      <c r="A19" s="27" t="s">
        <v>56</v>
      </c>
      <c r="B19" s="27" t="s">
        <v>228</v>
      </c>
      <c r="C19" s="52">
        <v>15180</v>
      </c>
      <c r="D19" s="52">
        <v>2130</v>
      </c>
      <c r="E19" s="52">
        <v>1074</v>
      </c>
      <c r="F19" s="52">
        <v>308</v>
      </c>
      <c r="G19" s="53">
        <f t="shared" si="0"/>
        <v>0.28677839851024206</v>
      </c>
    </row>
    <row r="20" spans="1:7" x14ac:dyDescent="0.2">
      <c r="A20" s="27" t="s">
        <v>57</v>
      </c>
      <c r="B20" s="27" t="s">
        <v>229</v>
      </c>
      <c r="C20" s="52">
        <v>24020</v>
      </c>
      <c r="D20" s="52">
        <v>5195</v>
      </c>
      <c r="E20" s="52">
        <v>2125</v>
      </c>
      <c r="F20" s="52">
        <v>997</v>
      </c>
      <c r="G20" s="53">
        <f t="shared" si="0"/>
        <v>0.46917647058823531</v>
      </c>
    </row>
    <row r="21" spans="1:7" x14ac:dyDescent="0.2">
      <c r="A21" s="27" t="s">
        <v>58</v>
      </c>
      <c r="B21" s="27" t="s">
        <v>230</v>
      </c>
      <c r="C21" s="52">
        <v>6061</v>
      </c>
      <c r="D21" s="52">
        <v>786</v>
      </c>
      <c r="E21" s="52">
        <v>244</v>
      </c>
      <c r="F21" s="52">
        <v>81</v>
      </c>
      <c r="G21" s="53">
        <f t="shared" si="0"/>
        <v>0.33196721311475408</v>
      </c>
    </row>
    <row r="22" spans="1:7" x14ac:dyDescent="0.2">
      <c r="A22" s="5" t="s">
        <v>44</v>
      </c>
      <c r="B22" s="5" t="s">
        <v>231</v>
      </c>
      <c r="C22" s="48">
        <f>SUM(C23:C25)</f>
        <v>8181</v>
      </c>
      <c r="D22" s="48">
        <f>SUM(D23:D25)</f>
        <v>1128</v>
      </c>
      <c r="E22" s="48">
        <f>SUM(E23:E25)</f>
        <v>644</v>
      </c>
      <c r="F22" s="48">
        <f>SUM(F23:F25)</f>
        <v>166</v>
      </c>
      <c r="G22" s="57">
        <f t="shared" si="0"/>
        <v>0.25776397515527949</v>
      </c>
    </row>
    <row r="23" spans="1:7" x14ac:dyDescent="0.2">
      <c r="A23" s="27" t="s">
        <v>59</v>
      </c>
      <c r="B23" s="27" t="s">
        <v>232</v>
      </c>
      <c r="C23" s="52">
        <v>3203</v>
      </c>
      <c r="D23" s="52">
        <v>515</v>
      </c>
      <c r="E23" s="52">
        <v>330</v>
      </c>
      <c r="F23" s="52">
        <v>70</v>
      </c>
      <c r="G23" s="53">
        <f t="shared" si="0"/>
        <v>0.21212121212121213</v>
      </c>
    </row>
    <row r="24" spans="1:7" x14ac:dyDescent="0.2">
      <c r="A24" s="27" t="s">
        <v>60</v>
      </c>
      <c r="B24" s="27" t="s">
        <v>233</v>
      </c>
      <c r="C24" s="52">
        <v>3009</v>
      </c>
      <c r="D24" s="52">
        <v>413</v>
      </c>
      <c r="E24" s="52">
        <v>223</v>
      </c>
      <c r="F24" s="52">
        <v>95</v>
      </c>
      <c r="G24" s="53">
        <f t="shared" si="0"/>
        <v>0.42600896860986548</v>
      </c>
    </row>
    <row r="25" spans="1:7" x14ac:dyDescent="0.2">
      <c r="A25" s="27" t="s">
        <v>58</v>
      </c>
      <c r="B25" s="27" t="s">
        <v>230</v>
      </c>
      <c r="C25" s="52">
        <v>1969</v>
      </c>
      <c r="D25" s="52">
        <v>200</v>
      </c>
      <c r="E25" s="52">
        <v>91</v>
      </c>
      <c r="F25" s="52">
        <v>1</v>
      </c>
      <c r="G25" s="53">
        <f t="shared" si="0"/>
        <v>1.098901098901099E-2</v>
      </c>
    </row>
    <row r="26" spans="1:7" x14ac:dyDescent="0.2">
      <c r="A26" s="2" t="s">
        <v>34</v>
      </c>
      <c r="B26" s="2"/>
    </row>
    <row r="27" spans="1:7" x14ac:dyDescent="0.2">
      <c r="A27" s="2" t="s">
        <v>82</v>
      </c>
      <c r="B27" s="2"/>
    </row>
  </sheetData>
  <pageMargins left="0.75" right="0.75" top="1" bottom="1" header="0" footer="0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3" sqref="A3"/>
    </sheetView>
  </sheetViews>
  <sheetFormatPr baseColWidth="10" defaultRowHeight="12.75" x14ac:dyDescent="0.2"/>
  <cols>
    <col min="1" max="2" width="33.7109375" style="1" customWidth="1"/>
    <col min="3" max="3" width="11.42578125" style="1"/>
    <col min="4" max="4" width="13.5703125" style="1" customWidth="1"/>
    <col min="5" max="16384" width="11.42578125" style="1"/>
  </cols>
  <sheetData>
    <row r="1" spans="1:6" x14ac:dyDescent="0.2">
      <c r="A1" s="6" t="s">
        <v>162</v>
      </c>
      <c r="B1" s="6"/>
    </row>
    <row r="2" spans="1:6" x14ac:dyDescent="0.2">
      <c r="A2" s="25" t="s">
        <v>163</v>
      </c>
      <c r="B2" s="25"/>
    </row>
    <row r="4" spans="1:6" s="28" customFormat="1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s="28" customFormat="1" ht="27" customHeight="1" x14ac:dyDescent="0.2">
      <c r="A5" s="73"/>
      <c r="B5" s="73"/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" t="s">
        <v>94</v>
      </c>
      <c r="B6" s="5" t="s">
        <v>234</v>
      </c>
      <c r="C6" s="91">
        <v>13793</v>
      </c>
      <c r="D6" s="91">
        <v>1443</v>
      </c>
      <c r="E6" s="92" t="s">
        <v>19</v>
      </c>
      <c r="F6" s="92" t="s">
        <v>19</v>
      </c>
    </row>
    <row r="7" spans="1:6" x14ac:dyDescent="0.2">
      <c r="A7" s="27" t="s">
        <v>61</v>
      </c>
      <c r="B7" s="27" t="s">
        <v>235</v>
      </c>
      <c r="C7" s="60">
        <v>5865</v>
      </c>
      <c r="D7" s="60">
        <v>550</v>
      </c>
      <c r="E7" s="38" t="s">
        <v>19</v>
      </c>
      <c r="F7" s="38" t="s">
        <v>19</v>
      </c>
    </row>
    <row r="8" spans="1:6" x14ac:dyDescent="0.2">
      <c r="A8" s="27" t="s">
        <v>62</v>
      </c>
      <c r="B8" s="27" t="s">
        <v>236</v>
      </c>
      <c r="C8" s="60">
        <v>2084</v>
      </c>
      <c r="D8" s="60">
        <v>366</v>
      </c>
      <c r="E8" s="38" t="s">
        <v>19</v>
      </c>
      <c r="F8" s="38" t="s">
        <v>19</v>
      </c>
    </row>
    <row r="9" spans="1:6" x14ac:dyDescent="0.2">
      <c r="A9" s="27" t="s">
        <v>63</v>
      </c>
      <c r="B9" s="27" t="s">
        <v>237</v>
      </c>
      <c r="C9" s="60">
        <v>5844</v>
      </c>
      <c r="D9" s="60">
        <v>527</v>
      </c>
      <c r="E9" s="38" t="s">
        <v>19</v>
      </c>
      <c r="F9" s="38" t="s">
        <v>19</v>
      </c>
    </row>
    <row r="10" spans="1:6" x14ac:dyDescent="0.2">
      <c r="A10" s="1" t="s">
        <v>250</v>
      </c>
      <c r="B10" s="1" t="s">
        <v>251</v>
      </c>
      <c r="C10" s="60">
        <v>13718</v>
      </c>
      <c r="D10" s="60">
        <v>1434</v>
      </c>
      <c r="E10" s="38" t="s">
        <v>19</v>
      </c>
      <c r="F10" s="38" t="s">
        <v>19</v>
      </c>
    </row>
    <row r="11" spans="1:6" x14ac:dyDescent="0.2">
      <c r="A11" s="1" t="s">
        <v>64</v>
      </c>
      <c r="B11" s="1" t="s">
        <v>238</v>
      </c>
      <c r="C11" s="60">
        <v>8</v>
      </c>
      <c r="D11" s="60">
        <v>3</v>
      </c>
      <c r="E11" s="38" t="s">
        <v>19</v>
      </c>
      <c r="F11" s="38" t="s">
        <v>19</v>
      </c>
    </row>
    <row r="12" spans="1:6" x14ac:dyDescent="0.2">
      <c r="A12" s="5" t="s">
        <v>65</v>
      </c>
      <c r="B12" s="5" t="s">
        <v>239</v>
      </c>
      <c r="C12" s="91">
        <v>5869</v>
      </c>
      <c r="D12" s="91">
        <v>550</v>
      </c>
      <c r="E12" s="92" t="s">
        <v>19</v>
      </c>
      <c r="F12" s="92" t="s">
        <v>19</v>
      </c>
    </row>
    <row r="13" spans="1:6" x14ac:dyDescent="0.2">
      <c r="A13" s="27" t="s">
        <v>240</v>
      </c>
      <c r="B13" s="27" t="s">
        <v>244</v>
      </c>
      <c r="C13" s="60">
        <v>4132</v>
      </c>
      <c r="D13" s="60">
        <v>398</v>
      </c>
      <c r="E13" s="38" t="s">
        <v>19</v>
      </c>
      <c r="F13" s="38" t="s">
        <v>19</v>
      </c>
    </row>
    <row r="14" spans="1:6" x14ac:dyDescent="0.2">
      <c r="A14" s="27" t="s">
        <v>241</v>
      </c>
      <c r="B14" s="27" t="s">
        <v>245</v>
      </c>
      <c r="C14" s="60">
        <v>77</v>
      </c>
      <c r="D14" s="60">
        <v>5</v>
      </c>
      <c r="E14" s="38" t="s">
        <v>19</v>
      </c>
      <c r="F14" s="38" t="s">
        <v>19</v>
      </c>
    </row>
    <row r="15" spans="1:6" x14ac:dyDescent="0.2">
      <c r="A15" s="27" t="s">
        <v>242</v>
      </c>
      <c r="B15" s="27" t="s">
        <v>246</v>
      </c>
      <c r="C15" s="60">
        <v>1634</v>
      </c>
      <c r="D15" s="60">
        <v>147</v>
      </c>
      <c r="E15" s="38" t="s">
        <v>19</v>
      </c>
      <c r="F15" s="38" t="s">
        <v>19</v>
      </c>
    </row>
    <row r="16" spans="1:6" x14ac:dyDescent="0.2">
      <c r="A16" s="27" t="s">
        <v>243</v>
      </c>
      <c r="B16" s="27" t="s">
        <v>247</v>
      </c>
      <c r="C16" s="60">
        <v>26</v>
      </c>
      <c r="D16" s="60">
        <v>0</v>
      </c>
      <c r="E16" s="38" t="s">
        <v>19</v>
      </c>
      <c r="F16" s="38" t="s">
        <v>19</v>
      </c>
    </row>
    <row r="17" spans="1:6" x14ac:dyDescent="0.2">
      <c r="A17" s="1" t="s">
        <v>204</v>
      </c>
      <c r="B17" s="1" t="s">
        <v>203</v>
      </c>
      <c r="C17" s="60">
        <v>4137</v>
      </c>
      <c r="D17" s="60">
        <v>389</v>
      </c>
      <c r="E17" s="38" t="s">
        <v>19</v>
      </c>
      <c r="F17" s="38" t="s">
        <v>19</v>
      </c>
    </row>
    <row r="18" spans="1:6" x14ac:dyDescent="0.2">
      <c r="A18" s="1" t="s">
        <v>205</v>
      </c>
      <c r="B18" s="1" t="s">
        <v>206</v>
      </c>
      <c r="C18" s="60">
        <v>1732</v>
      </c>
      <c r="D18" s="60">
        <v>161</v>
      </c>
      <c r="E18" s="38" t="s">
        <v>19</v>
      </c>
      <c r="F18" s="38" t="s">
        <v>19</v>
      </c>
    </row>
    <row r="19" spans="1:6" x14ac:dyDescent="0.2">
      <c r="A19" s="1" t="s">
        <v>66</v>
      </c>
      <c r="B19" s="1" t="s">
        <v>248</v>
      </c>
      <c r="C19" s="60">
        <v>4457</v>
      </c>
      <c r="D19" s="60">
        <v>483</v>
      </c>
      <c r="E19" s="38" t="s">
        <v>19</v>
      </c>
      <c r="F19" s="38" t="s">
        <v>19</v>
      </c>
    </row>
    <row r="20" spans="1:6" x14ac:dyDescent="0.2">
      <c r="A20" s="1" t="s">
        <v>67</v>
      </c>
      <c r="B20" s="1" t="s">
        <v>249</v>
      </c>
      <c r="C20" s="60">
        <v>1412</v>
      </c>
      <c r="D20" s="60">
        <v>67</v>
      </c>
      <c r="E20" s="38" t="s">
        <v>19</v>
      </c>
      <c r="F20" s="38" t="s">
        <v>19</v>
      </c>
    </row>
    <row r="21" spans="1:6" x14ac:dyDescent="0.2">
      <c r="A21" s="2" t="s">
        <v>34</v>
      </c>
      <c r="B21" s="2"/>
    </row>
    <row r="22" spans="1:6" x14ac:dyDescent="0.2">
      <c r="A22" s="2" t="s">
        <v>82</v>
      </c>
      <c r="B22" s="2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F22"/>
  <sheetViews>
    <sheetView workbookViewId="0">
      <selection activeCell="A3" sqref="A3"/>
    </sheetView>
  </sheetViews>
  <sheetFormatPr baseColWidth="10" defaultRowHeight="12.75" x14ac:dyDescent="0.2"/>
  <cols>
    <col min="1" max="2" width="33.7109375" style="1" customWidth="1"/>
    <col min="3" max="3" width="11.42578125" style="1"/>
    <col min="4" max="4" width="13.5703125" style="1" customWidth="1"/>
    <col min="5" max="16384" width="11.42578125" style="1"/>
  </cols>
  <sheetData>
    <row r="1" spans="1:6" x14ac:dyDescent="0.2">
      <c r="A1" s="6" t="s">
        <v>141</v>
      </c>
      <c r="B1" s="6"/>
    </row>
    <row r="2" spans="1:6" x14ac:dyDescent="0.2">
      <c r="A2" s="25" t="s">
        <v>142</v>
      </c>
      <c r="B2" s="25"/>
    </row>
    <row r="4" spans="1:6" s="28" customFormat="1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s="28" customFormat="1" ht="27" customHeight="1" x14ac:dyDescent="0.2">
      <c r="A5" s="73"/>
      <c r="B5" s="73"/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" t="s">
        <v>94</v>
      </c>
      <c r="B6" s="5" t="s">
        <v>234</v>
      </c>
      <c r="C6" s="91">
        <v>15324</v>
      </c>
      <c r="D6" s="91">
        <v>1569</v>
      </c>
      <c r="E6" s="92" t="s">
        <v>19</v>
      </c>
      <c r="F6" s="92" t="s">
        <v>19</v>
      </c>
    </row>
    <row r="7" spans="1:6" x14ac:dyDescent="0.2">
      <c r="A7" s="27" t="s">
        <v>61</v>
      </c>
      <c r="B7" s="27" t="s">
        <v>235</v>
      </c>
      <c r="C7" s="60">
        <v>6531</v>
      </c>
      <c r="D7" s="60">
        <v>646</v>
      </c>
      <c r="E7" s="38" t="s">
        <v>19</v>
      </c>
      <c r="F7" s="38" t="s">
        <v>19</v>
      </c>
    </row>
    <row r="8" spans="1:6" x14ac:dyDescent="0.2">
      <c r="A8" s="27" t="s">
        <v>62</v>
      </c>
      <c r="B8" s="27" t="s">
        <v>236</v>
      </c>
      <c r="C8" s="60">
        <v>1889</v>
      </c>
      <c r="D8" s="60">
        <v>350</v>
      </c>
      <c r="E8" s="38" t="s">
        <v>19</v>
      </c>
      <c r="F8" s="38" t="s">
        <v>19</v>
      </c>
    </row>
    <row r="9" spans="1:6" x14ac:dyDescent="0.2">
      <c r="A9" s="27" t="s">
        <v>63</v>
      </c>
      <c r="B9" s="27" t="s">
        <v>237</v>
      </c>
      <c r="C9" s="60">
        <v>6904</v>
      </c>
      <c r="D9" s="60">
        <v>573</v>
      </c>
      <c r="E9" s="38" t="s">
        <v>19</v>
      </c>
      <c r="F9" s="38" t="s">
        <v>19</v>
      </c>
    </row>
    <row r="10" spans="1:6" x14ac:dyDescent="0.2">
      <c r="A10" s="1" t="s">
        <v>250</v>
      </c>
      <c r="B10" s="1" t="s">
        <v>251</v>
      </c>
      <c r="C10" s="60">
        <v>15247</v>
      </c>
      <c r="D10" s="60">
        <v>1560</v>
      </c>
      <c r="E10" s="38" t="s">
        <v>19</v>
      </c>
      <c r="F10" s="38" t="s">
        <v>19</v>
      </c>
    </row>
    <row r="11" spans="1:6" x14ac:dyDescent="0.2">
      <c r="A11" s="1" t="s">
        <v>64</v>
      </c>
      <c r="B11" s="1" t="s">
        <v>238</v>
      </c>
      <c r="C11" s="60">
        <v>5</v>
      </c>
      <c r="D11" s="60">
        <v>0</v>
      </c>
      <c r="E11" s="38" t="s">
        <v>19</v>
      </c>
      <c r="F11" s="38" t="s">
        <v>19</v>
      </c>
    </row>
    <row r="12" spans="1:6" x14ac:dyDescent="0.2">
      <c r="A12" s="5" t="s">
        <v>65</v>
      </c>
      <c r="B12" s="5" t="s">
        <v>239</v>
      </c>
      <c r="C12" s="91">
        <v>6540</v>
      </c>
      <c r="D12" s="91">
        <v>646</v>
      </c>
      <c r="E12" s="92" t="s">
        <v>19</v>
      </c>
      <c r="F12" s="92" t="s">
        <v>19</v>
      </c>
    </row>
    <row r="13" spans="1:6" x14ac:dyDescent="0.2">
      <c r="A13" s="27" t="s">
        <v>240</v>
      </c>
      <c r="B13" s="27" t="s">
        <v>244</v>
      </c>
      <c r="C13" s="60">
        <v>4490</v>
      </c>
      <c r="D13" s="60">
        <v>448</v>
      </c>
      <c r="E13" s="38" t="s">
        <v>19</v>
      </c>
      <c r="F13" s="38" t="s">
        <v>19</v>
      </c>
    </row>
    <row r="14" spans="1:6" x14ac:dyDescent="0.2">
      <c r="A14" s="27" t="s">
        <v>241</v>
      </c>
      <c r="B14" s="27" t="s">
        <v>245</v>
      </c>
      <c r="C14" s="60">
        <v>84</v>
      </c>
      <c r="D14" s="60">
        <v>4</v>
      </c>
      <c r="E14" s="38" t="s">
        <v>19</v>
      </c>
      <c r="F14" s="38" t="s">
        <v>19</v>
      </c>
    </row>
    <row r="15" spans="1:6" x14ac:dyDescent="0.2">
      <c r="A15" s="27" t="s">
        <v>242</v>
      </c>
      <c r="B15" s="27" t="s">
        <v>246</v>
      </c>
      <c r="C15" s="60">
        <v>1937</v>
      </c>
      <c r="D15" s="60">
        <v>194</v>
      </c>
      <c r="E15" s="38" t="s">
        <v>19</v>
      </c>
      <c r="F15" s="38" t="s">
        <v>19</v>
      </c>
    </row>
    <row r="16" spans="1:6" x14ac:dyDescent="0.2">
      <c r="A16" s="27" t="s">
        <v>243</v>
      </c>
      <c r="B16" s="27" t="s">
        <v>247</v>
      </c>
      <c r="C16" s="60">
        <v>32</v>
      </c>
      <c r="D16" s="60">
        <v>0</v>
      </c>
      <c r="E16" s="38" t="s">
        <v>19</v>
      </c>
      <c r="F16" s="38" t="s">
        <v>19</v>
      </c>
    </row>
    <row r="17" spans="1:6" x14ac:dyDescent="0.2">
      <c r="A17" s="1" t="s">
        <v>204</v>
      </c>
      <c r="B17" s="1" t="s">
        <v>203</v>
      </c>
      <c r="C17" s="60">
        <v>4519</v>
      </c>
      <c r="D17" s="60">
        <v>442</v>
      </c>
      <c r="E17" s="38" t="s">
        <v>19</v>
      </c>
      <c r="F17" s="38" t="s">
        <v>19</v>
      </c>
    </row>
    <row r="18" spans="1:6" x14ac:dyDescent="0.2">
      <c r="A18" s="1" t="s">
        <v>205</v>
      </c>
      <c r="B18" s="1" t="s">
        <v>206</v>
      </c>
      <c r="C18" s="60">
        <v>2021</v>
      </c>
      <c r="D18" s="60">
        <v>204</v>
      </c>
      <c r="E18" s="38" t="s">
        <v>19</v>
      </c>
      <c r="F18" s="38" t="s">
        <v>19</v>
      </c>
    </row>
    <row r="19" spans="1:6" x14ac:dyDescent="0.2">
      <c r="A19" s="1" t="s">
        <v>66</v>
      </c>
      <c r="B19" s="1" t="s">
        <v>248</v>
      </c>
      <c r="C19" s="60">
        <v>5005</v>
      </c>
      <c r="D19" s="60">
        <v>567</v>
      </c>
      <c r="E19" s="38" t="s">
        <v>19</v>
      </c>
      <c r="F19" s="38" t="s">
        <v>19</v>
      </c>
    </row>
    <row r="20" spans="1:6" x14ac:dyDescent="0.2">
      <c r="A20" s="1" t="s">
        <v>67</v>
      </c>
      <c r="B20" s="1" t="s">
        <v>249</v>
      </c>
      <c r="C20" s="60">
        <v>1535</v>
      </c>
      <c r="D20" s="60">
        <v>79</v>
      </c>
      <c r="E20" s="38" t="s">
        <v>19</v>
      </c>
      <c r="F20" s="38" t="s">
        <v>19</v>
      </c>
    </row>
    <row r="21" spans="1:6" x14ac:dyDescent="0.2">
      <c r="A21" s="2" t="s">
        <v>34</v>
      </c>
      <c r="B21" s="2"/>
    </row>
    <row r="22" spans="1:6" x14ac:dyDescent="0.2">
      <c r="A22" s="2" t="s">
        <v>82</v>
      </c>
      <c r="B22" s="2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F22"/>
  <sheetViews>
    <sheetView workbookViewId="0">
      <selection activeCell="A3" sqref="A3"/>
    </sheetView>
  </sheetViews>
  <sheetFormatPr baseColWidth="10" defaultRowHeight="12.75" x14ac:dyDescent="0.2"/>
  <cols>
    <col min="1" max="2" width="33.7109375" style="1" customWidth="1"/>
    <col min="3" max="3" width="11.42578125" style="1"/>
    <col min="4" max="4" width="13.5703125" style="1" customWidth="1"/>
    <col min="5" max="16384" width="11.42578125" style="1"/>
  </cols>
  <sheetData>
    <row r="1" spans="1:6" x14ac:dyDescent="0.2">
      <c r="A1" s="6" t="s">
        <v>143</v>
      </c>
      <c r="B1" s="6"/>
    </row>
    <row r="2" spans="1:6" x14ac:dyDescent="0.2">
      <c r="A2" s="25" t="s">
        <v>144</v>
      </c>
      <c r="B2" s="25"/>
    </row>
    <row r="4" spans="1:6" s="28" customFormat="1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s="28" customFormat="1" ht="27" customHeight="1" x14ac:dyDescent="0.2">
      <c r="A5" s="73"/>
      <c r="B5" s="73"/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" t="s">
        <v>94</v>
      </c>
      <c r="B6" s="5" t="s">
        <v>234</v>
      </c>
      <c r="C6" s="91">
        <v>14918</v>
      </c>
      <c r="D6" s="91">
        <v>1721</v>
      </c>
      <c r="E6" s="92" t="s">
        <v>19</v>
      </c>
      <c r="F6" s="92" t="s">
        <v>19</v>
      </c>
    </row>
    <row r="7" spans="1:6" x14ac:dyDescent="0.2">
      <c r="A7" s="27" t="s">
        <v>61</v>
      </c>
      <c r="B7" s="27" t="s">
        <v>235</v>
      </c>
      <c r="C7" s="60">
        <v>6764</v>
      </c>
      <c r="D7" s="60">
        <v>759</v>
      </c>
      <c r="E7" s="38" t="s">
        <v>19</v>
      </c>
      <c r="F7" s="38" t="s">
        <v>19</v>
      </c>
    </row>
    <row r="8" spans="1:6" x14ac:dyDescent="0.2">
      <c r="A8" s="27" t="s">
        <v>62</v>
      </c>
      <c r="B8" s="27" t="s">
        <v>236</v>
      </c>
      <c r="C8" s="60">
        <v>1889</v>
      </c>
      <c r="D8" s="60">
        <v>317</v>
      </c>
      <c r="E8" s="38" t="s">
        <v>19</v>
      </c>
      <c r="F8" s="38" t="s">
        <v>19</v>
      </c>
    </row>
    <row r="9" spans="1:6" x14ac:dyDescent="0.2">
      <c r="A9" s="27" t="s">
        <v>63</v>
      </c>
      <c r="B9" s="27" t="s">
        <v>237</v>
      </c>
      <c r="C9" s="60">
        <v>6265</v>
      </c>
      <c r="D9" s="60">
        <v>645</v>
      </c>
      <c r="E9" s="38" t="s">
        <v>19</v>
      </c>
      <c r="F9" s="38" t="s">
        <v>19</v>
      </c>
    </row>
    <row r="10" spans="1:6" x14ac:dyDescent="0.2">
      <c r="A10" s="1" t="s">
        <v>250</v>
      </c>
      <c r="B10" s="1" t="s">
        <v>251</v>
      </c>
      <c r="C10" s="60">
        <v>14842</v>
      </c>
      <c r="D10" s="60">
        <v>1714</v>
      </c>
      <c r="E10" s="38" t="s">
        <v>19</v>
      </c>
      <c r="F10" s="38" t="s">
        <v>19</v>
      </c>
    </row>
    <row r="11" spans="1:6" x14ac:dyDescent="0.2">
      <c r="A11" s="1" t="s">
        <v>64</v>
      </c>
      <c r="B11" s="1" t="s">
        <v>238</v>
      </c>
      <c r="C11" s="60">
        <v>11</v>
      </c>
      <c r="D11" s="60">
        <v>0</v>
      </c>
      <c r="E11" s="38" t="s">
        <v>19</v>
      </c>
      <c r="F11" s="38" t="s">
        <v>19</v>
      </c>
    </row>
    <row r="12" spans="1:6" x14ac:dyDescent="0.2">
      <c r="A12" s="5" t="s">
        <v>65</v>
      </c>
      <c r="B12" s="5" t="s">
        <v>239</v>
      </c>
      <c r="C12" s="91">
        <v>6764</v>
      </c>
      <c r="D12" s="91">
        <v>759</v>
      </c>
      <c r="E12" s="92" t="s">
        <v>19</v>
      </c>
      <c r="F12" s="92" t="s">
        <v>19</v>
      </c>
    </row>
    <row r="13" spans="1:6" x14ac:dyDescent="0.2">
      <c r="A13" s="27" t="s">
        <v>240</v>
      </c>
      <c r="B13" s="27" t="s">
        <v>244</v>
      </c>
      <c r="C13" s="60">
        <v>4688</v>
      </c>
      <c r="D13" s="60">
        <v>515</v>
      </c>
      <c r="E13" s="38" t="s">
        <v>19</v>
      </c>
      <c r="F13" s="38" t="s">
        <v>19</v>
      </c>
    </row>
    <row r="14" spans="1:6" x14ac:dyDescent="0.2">
      <c r="A14" s="27" t="s">
        <v>241</v>
      </c>
      <c r="B14" s="27" t="s">
        <v>245</v>
      </c>
      <c r="C14" s="60">
        <v>70</v>
      </c>
      <c r="D14" s="60">
        <v>3</v>
      </c>
      <c r="E14" s="38" t="s">
        <v>19</v>
      </c>
      <c r="F14" s="38" t="s">
        <v>19</v>
      </c>
    </row>
    <row r="15" spans="1:6" x14ac:dyDescent="0.2">
      <c r="A15" s="27" t="s">
        <v>242</v>
      </c>
      <c r="B15" s="27" t="s">
        <v>246</v>
      </c>
      <c r="C15" s="60">
        <v>1987</v>
      </c>
      <c r="D15" s="60">
        <v>237</v>
      </c>
      <c r="E15" s="38" t="s">
        <v>19</v>
      </c>
      <c r="F15" s="38" t="s">
        <v>19</v>
      </c>
    </row>
    <row r="16" spans="1:6" x14ac:dyDescent="0.2">
      <c r="A16" s="27" t="s">
        <v>243</v>
      </c>
      <c r="B16" s="27" t="s">
        <v>247</v>
      </c>
      <c r="C16" s="60">
        <v>21</v>
      </c>
      <c r="D16" s="60">
        <v>4</v>
      </c>
      <c r="E16" s="38" t="s">
        <v>19</v>
      </c>
      <c r="F16" s="38" t="s">
        <v>19</v>
      </c>
    </row>
    <row r="17" spans="1:6" x14ac:dyDescent="0.2">
      <c r="A17" s="1" t="s">
        <v>204</v>
      </c>
      <c r="B17" s="1" t="s">
        <v>203</v>
      </c>
      <c r="C17" s="60">
        <v>4685</v>
      </c>
      <c r="D17" s="60">
        <v>519</v>
      </c>
      <c r="E17" s="38" t="s">
        <v>19</v>
      </c>
      <c r="F17" s="38" t="s">
        <v>19</v>
      </c>
    </row>
    <row r="18" spans="1:6" x14ac:dyDescent="0.2">
      <c r="A18" s="1" t="s">
        <v>205</v>
      </c>
      <c r="B18" s="1" t="s">
        <v>206</v>
      </c>
      <c r="C18" s="60">
        <v>2079</v>
      </c>
      <c r="D18" s="60">
        <v>240</v>
      </c>
      <c r="E18" s="38" t="s">
        <v>19</v>
      </c>
      <c r="F18" s="38" t="s">
        <v>19</v>
      </c>
    </row>
    <row r="19" spans="1:6" x14ac:dyDescent="0.2">
      <c r="A19" s="1" t="s">
        <v>66</v>
      </c>
      <c r="B19" s="1" t="s">
        <v>248</v>
      </c>
      <c r="C19" s="60">
        <v>5182</v>
      </c>
      <c r="D19" s="60">
        <v>667</v>
      </c>
      <c r="E19" s="38" t="s">
        <v>19</v>
      </c>
      <c r="F19" s="38" t="s">
        <v>19</v>
      </c>
    </row>
    <row r="20" spans="1:6" x14ac:dyDescent="0.2">
      <c r="A20" s="1" t="s">
        <v>67</v>
      </c>
      <c r="B20" s="1" t="s">
        <v>249</v>
      </c>
      <c r="C20" s="60">
        <v>1582</v>
      </c>
      <c r="D20" s="60">
        <v>92</v>
      </c>
      <c r="E20" s="38" t="s">
        <v>19</v>
      </c>
      <c r="F20" s="38" t="s">
        <v>19</v>
      </c>
    </row>
    <row r="21" spans="1:6" x14ac:dyDescent="0.2">
      <c r="A21" s="75" t="s">
        <v>34</v>
      </c>
      <c r="B21" s="75"/>
      <c r="C21" s="59"/>
      <c r="D21" s="59"/>
      <c r="E21" s="59"/>
      <c r="F21" s="59"/>
    </row>
    <row r="22" spans="1:6" x14ac:dyDescent="0.2">
      <c r="A22" s="2" t="s">
        <v>82</v>
      </c>
      <c r="B22" s="2"/>
    </row>
  </sheetData>
  <pageMargins left="0.75" right="0.75" top="1" bottom="1" header="0" footer="0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F22"/>
  <sheetViews>
    <sheetView workbookViewId="0">
      <selection activeCell="A3" sqref="A3"/>
    </sheetView>
  </sheetViews>
  <sheetFormatPr baseColWidth="10" defaultRowHeight="12.75" x14ac:dyDescent="0.2"/>
  <cols>
    <col min="1" max="2" width="33.7109375" style="59" customWidth="1"/>
    <col min="3" max="3" width="11.42578125" style="59"/>
    <col min="4" max="4" width="13.5703125" style="59" customWidth="1"/>
    <col min="5" max="16384" width="11.42578125" style="59"/>
  </cols>
  <sheetData>
    <row r="1" spans="1:6" x14ac:dyDescent="0.2">
      <c r="A1" s="32" t="s">
        <v>145</v>
      </c>
      <c r="B1" s="32"/>
    </row>
    <row r="2" spans="1:6" x14ac:dyDescent="0.2">
      <c r="A2" s="76" t="s">
        <v>146</v>
      </c>
      <c r="B2" s="76"/>
    </row>
    <row r="4" spans="1:6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ht="27" customHeight="1" x14ac:dyDescent="0.2">
      <c r="A5" s="73"/>
      <c r="B5" s="73"/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" t="s">
        <v>94</v>
      </c>
      <c r="B6" s="5" t="s">
        <v>234</v>
      </c>
      <c r="C6" s="91">
        <v>14958</v>
      </c>
      <c r="D6" s="91">
        <v>1640</v>
      </c>
      <c r="E6" s="92" t="s">
        <v>19</v>
      </c>
      <c r="F6" s="92" t="s">
        <v>19</v>
      </c>
    </row>
    <row r="7" spans="1:6" x14ac:dyDescent="0.2">
      <c r="A7" s="27" t="s">
        <v>61</v>
      </c>
      <c r="B7" s="27" t="s">
        <v>235</v>
      </c>
      <c r="C7" s="60">
        <v>6465</v>
      </c>
      <c r="D7" s="60">
        <v>686</v>
      </c>
      <c r="E7" s="38" t="s">
        <v>19</v>
      </c>
      <c r="F7" s="38" t="s">
        <v>19</v>
      </c>
    </row>
    <row r="8" spans="1:6" x14ac:dyDescent="0.2">
      <c r="A8" s="27" t="s">
        <v>62</v>
      </c>
      <c r="B8" s="27" t="s">
        <v>236</v>
      </c>
      <c r="C8" s="60">
        <v>1951</v>
      </c>
      <c r="D8" s="60">
        <v>360</v>
      </c>
      <c r="E8" s="38" t="s">
        <v>19</v>
      </c>
      <c r="F8" s="38" t="s">
        <v>19</v>
      </c>
    </row>
    <row r="9" spans="1:6" x14ac:dyDescent="0.2">
      <c r="A9" s="27" t="s">
        <v>63</v>
      </c>
      <c r="B9" s="27" t="s">
        <v>237</v>
      </c>
      <c r="C9" s="60">
        <v>6542</v>
      </c>
      <c r="D9" s="60">
        <v>594</v>
      </c>
      <c r="E9" s="38" t="s">
        <v>19</v>
      </c>
      <c r="F9" s="38" t="s">
        <v>19</v>
      </c>
    </row>
    <row r="10" spans="1:6" x14ac:dyDescent="0.2">
      <c r="A10" s="1" t="s">
        <v>250</v>
      </c>
      <c r="B10" s="1" t="s">
        <v>251</v>
      </c>
      <c r="C10" s="60">
        <v>14875</v>
      </c>
      <c r="D10" s="60">
        <v>1638</v>
      </c>
      <c r="E10" s="38" t="s">
        <v>19</v>
      </c>
      <c r="F10" s="38" t="s">
        <v>19</v>
      </c>
    </row>
    <row r="11" spans="1:6" x14ac:dyDescent="0.2">
      <c r="A11" s="1" t="s">
        <v>64</v>
      </c>
      <c r="B11" s="1" t="s">
        <v>238</v>
      </c>
      <c r="C11" s="60">
        <v>16</v>
      </c>
      <c r="D11" s="60">
        <v>0</v>
      </c>
      <c r="E11" s="38" t="s">
        <v>19</v>
      </c>
      <c r="F11" s="38" t="s">
        <v>19</v>
      </c>
    </row>
    <row r="12" spans="1:6" x14ac:dyDescent="0.2">
      <c r="A12" s="5" t="s">
        <v>65</v>
      </c>
      <c r="B12" s="5" t="s">
        <v>239</v>
      </c>
      <c r="C12" s="91">
        <v>6466</v>
      </c>
      <c r="D12" s="91">
        <v>686</v>
      </c>
      <c r="E12" s="92" t="s">
        <v>19</v>
      </c>
      <c r="F12" s="92" t="s">
        <v>19</v>
      </c>
    </row>
    <row r="13" spans="1:6" x14ac:dyDescent="0.2">
      <c r="A13" s="27" t="s">
        <v>240</v>
      </c>
      <c r="B13" s="27" t="s">
        <v>244</v>
      </c>
      <c r="C13" s="60">
        <v>4393</v>
      </c>
      <c r="D13" s="60">
        <v>490</v>
      </c>
      <c r="E13" s="38" t="s">
        <v>19</v>
      </c>
      <c r="F13" s="38" t="s">
        <v>19</v>
      </c>
    </row>
    <row r="14" spans="1:6" x14ac:dyDescent="0.2">
      <c r="A14" s="27" t="s">
        <v>241</v>
      </c>
      <c r="B14" s="27" t="s">
        <v>245</v>
      </c>
      <c r="C14" s="60">
        <v>66</v>
      </c>
      <c r="D14" s="60">
        <v>10</v>
      </c>
      <c r="E14" s="38" t="s">
        <v>19</v>
      </c>
      <c r="F14" s="38" t="s">
        <v>19</v>
      </c>
    </row>
    <row r="15" spans="1:6" x14ac:dyDescent="0.2">
      <c r="A15" s="27" t="s">
        <v>242</v>
      </c>
      <c r="B15" s="27" t="s">
        <v>246</v>
      </c>
      <c r="C15" s="60">
        <v>1981</v>
      </c>
      <c r="D15" s="60">
        <v>185</v>
      </c>
      <c r="E15" s="38" t="s">
        <v>19</v>
      </c>
      <c r="F15" s="38" t="s">
        <v>19</v>
      </c>
    </row>
    <row r="16" spans="1:6" x14ac:dyDescent="0.2">
      <c r="A16" s="27" t="s">
        <v>243</v>
      </c>
      <c r="B16" s="27" t="s">
        <v>247</v>
      </c>
      <c r="C16" s="60">
        <v>26</v>
      </c>
      <c r="D16" s="60">
        <v>1</v>
      </c>
      <c r="E16" s="38" t="s">
        <v>19</v>
      </c>
      <c r="F16" s="38" t="s">
        <v>19</v>
      </c>
    </row>
    <row r="17" spans="1:6" x14ac:dyDescent="0.2">
      <c r="A17" s="1" t="s">
        <v>204</v>
      </c>
      <c r="B17" s="1" t="s">
        <v>203</v>
      </c>
      <c r="C17" s="60">
        <v>4404</v>
      </c>
      <c r="D17" s="60">
        <v>479</v>
      </c>
      <c r="E17" s="38" t="s">
        <v>19</v>
      </c>
      <c r="F17" s="38" t="s">
        <v>19</v>
      </c>
    </row>
    <row r="18" spans="1:6" x14ac:dyDescent="0.2">
      <c r="A18" s="1" t="s">
        <v>205</v>
      </c>
      <c r="B18" s="1" t="s">
        <v>206</v>
      </c>
      <c r="C18" s="60">
        <v>2062</v>
      </c>
      <c r="D18" s="60">
        <v>207</v>
      </c>
      <c r="E18" s="38" t="s">
        <v>19</v>
      </c>
      <c r="F18" s="38" t="s">
        <v>19</v>
      </c>
    </row>
    <row r="19" spans="1:6" x14ac:dyDescent="0.2">
      <c r="A19" s="1" t="s">
        <v>66</v>
      </c>
      <c r="B19" s="1" t="s">
        <v>248</v>
      </c>
      <c r="C19" s="60">
        <v>4958</v>
      </c>
      <c r="D19" s="60">
        <v>585</v>
      </c>
      <c r="E19" s="38" t="s">
        <v>19</v>
      </c>
      <c r="F19" s="38" t="s">
        <v>19</v>
      </c>
    </row>
    <row r="20" spans="1:6" x14ac:dyDescent="0.2">
      <c r="A20" s="1" t="s">
        <v>67</v>
      </c>
      <c r="B20" s="1" t="s">
        <v>249</v>
      </c>
      <c r="C20" s="60">
        <v>1508</v>
      </c>
      <c r="D20" s="60">
        <v>101</v>
      </c>
      <c r="E20" s="38" t="s">
        <v>19</v>
      </c>
      <c r="F20" s="38" t="s">
        <v>19</v>
      </c>
    </row>
    <row r="21" spans="1:6" x14ac:dyDescent="0.2">
      <c r="A21" s="75" t="s">
        <v>34</v>
      </c>
      <c r="B21" s="75"/>
    </row>
    <row r="22" spans="1:6" x14ac:dyDescent="0.2">
      <c r="A22" s="75" t="s">
        <v>82</v>
      </c>
      <c r="B22" s="75"/>
    </row>
  </sheetData>
  <pageMargins left="0.75" right="0.75" top="1" bottom="1" header="0" footer="0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F33"/>
  <sheetViews>
    <sheetView workbookViewId="0">
      <selection activeCell="A3" sqref="A3"/>
    </sheetView>
  </sheetViews>
  <sheetFormatPr baseColWidth="10" defaultRowHeight="12.75" x14ac:dyDescent="0.2"/>
  <cols>
    <col min="1" max="2" width="33.7109375" style="59" customWidth="1"/>
    <col min="3" max="3" width="11.42578125" style="59"/>
    <col min="4" max="4" width="13.5703125" style="59" customWidth="1"/>
    <col min="5" max="16384" width="11.42578125" style="59"/>
  </cols>
  <sheetData>
    <row r="1" spans="1:6" x14ac:dyDescent="0.2">
      <c r="A1" s="32" t="s">
        <v>147</v>
      </c>
      <c r="B1" s="32"/>
    </row>
    <row r="2" spans="1:6" x14ac:dyDescent="0.2">
      <c r="A2" s="76" t="s">
        <v>148</v>
      </c>
      <c r="B2" s="76"/>
    </row>
    <row r="4" spans="1:6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ht="27" customHeight="1" x14ac:dyDescent="0.2">
      <c r="A5" s="73"/>
      <c r="B5" s="73"/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" t="s">
        <v>94</v>
      </c>
      <c r="B6" s="5" t="s">
        <v>234</v>
      </c>
      <c r="C6" s="91">
        <v>17238</v>
      </c>
      <c r="D6" s="91">
        <v>2119</v>
      </c>
      <c r="E6" s="92" t="s">
        <v>19</v>
      </c>
      <c r="F6" s="92" t="s">
        <v>19</v>
      </c>
    </row>
    <row r="7" spans="1:6" x14ac:dyDescent="0.2">
      <c r="A7" s="27" t="s">
        <v>61</v>
      </c>
      <c r="B7" s="27" t="s">
        <v>235</v>
      </c>
      <c r="C7" s="60">
        <v>7370</v>
      </c>
      <c r="D7" s="60">
        <v>917</v>
      </c>
      <c r="E7" s="38" t="s">
        <v>19</v>
      </c>
      <c r="F7" s="38" t="s">
        <v>19</v>
      </c>
    </row>
    <row r="8" spans="1:6" x14ac:dyDescent="0.2">
      <c r="A8" s="27" t="s">
        <v>62</v>
      </c>
      <c r="B8" s="27" t="s">
        <v>236</v>
      </c>
      <c r="C8" s="60">
        <v>2011</v>
      </c>
      <c r="D8" s="60">
        <v>365</v>
      </c>
      <c r="E8" s="38" t="s">
        <v>19</v>
      </c>
      <c r="F8" s="38" t="s">
        <v>19</v>
      </c>
    </row>
    <row r="9" spans="1:6" x14ac:dyDescent="0.2">
      <c r="A9" s="27" t="s">
        <v>63</v>
      </c>
      <c r="B9" s="27" t="s">
        <v>237</v>
      </c>
      <c r="C9" s="60">
        <v>7855</v>
      </c>
      <c r="D9" s="60">
        <v>837</v>
      </c>
      <c r="E9" s="38" t="s">
        <v>19</v>
      </c>
      <c r="F9" s="38" t="s">
        <v>19</v>
      </c>
    </row>
    <row r="10" spans="1:6" x14ac:dyDescent="0.2">
      <c r="A10" s="1" t="s">
        <v>250</v>
      </c>
      <c r="B10" s="1" t="s">
        <v>251</v>
      </c>
      <c r="C10" s="60">
        <v>17118</v>
      </c>
      <c r="D10" s="60">
        <v>2115</v>
      </c>
      <c r="E10" s="38" t="s">
        <v>19</v>
      </c>
      <c r="F10" s="38" t="s">
        <v>19</v>
      </c>
    </row>
    <row r="11" spans="1:6" x14ac:dyDescent="0.2">
      <c r="A11" s="1" t="s">
        <v>64</v>
      </c>
      <c r="B11" s="1" t="s">
        <v>238</v>
      </c>
      <c r="C11" s="60">
        <v>48</v>
      </c>
      <c r="D11" s="60">
        <v>3</v>
      </c>
      <c r="E11" s="38" t="s">
        <v>19</v>
      </c>
      <c r="F11" s="38" t="s">
        <v>19</v>
      </c>
    </row>
    <row r="12" spans="1:6" x14ac:dyDescent="0.2">
      <c r="A12" s="5" t="s">
        <v>65</v>
      </c>
      <c r="B12" s="5" t="s">
        <v>239</v>
      </c>
      <c r="C12" s="91">
        <v>7370</v>
      </c>
      <c r="D12" s="91">
        <v>917</v>
      </c>
      <c r="E12" s="92" t="s">
        <v>19</v>
      </c>
      <c r="F12" s="92" t="s">
        <v>19</v>
      </c>
    </row>
    <row r="13" spans="1:6" x14ac:dyDescent="0.2">
      <c r="A13" s="27" t="s">
        <v>240</v>
      </c>
      <c r="B13" s="27" t="s">
        <v>244</v>
      </c>
      <c r="C13" s="60">
        <v>4985</v>
      </c>
      <c r="D13" s="60">
        <v>646</v>
      </c>
      <c r="E13" s="38" t="s">
        <v>19</v>
      </c>
      <c r="F13" s="38" t="s">
        <v>19</v>
      </c>
    </row>
    <row r="14" spans="1:6" x14ac:dyDescent="0.2">
      <c r="A14" s="27" t="s">
        <v>241</v>
      </c>
      <c r="B14" s="27" t="s">
        <v>245</v>
      </c>
      <c r="C14" s="60">
        <v>81</v>
      </c>
      <c r="D14" s="60">
        <v>9</v>
      </c>
      <c r="E14" s="38" t="s">
        <v>19</v>
      </c>
      <c r="F14" s="38" t="s">
        <v>19</v>
      </c>
    </row>
    <row r="15" spans="1:6" x14ac:dyDescent="0.2">
      <c r="A15" s="27" t="s">
        <v>242</v>
      </c>
      <c r="B15" s="27" t="s">
        <v>246</v>
      </c>
      <c r="C15" s="60">
        <v>2272</v>
      </c>
      <c r="D15" s="60">
        <v>262</v>
      </c>
      <c r="E15" s="38" t="s">
        <v>19</v>
      </c>
      <c r="F15" s="38" t="s">
        <v>19</v>
      </c>
    </row>
    <row r="16" spans="1:6" x14ac:dyDescent="0.2">
      <c r="A16" s="27" t="s">
        <v>243</v>
      </c>
      <c r="B16" s="27" t="s">
        <v>247</v>
      </c>
      <c r="C16" s="60">
        <v>34</v>
      </c>
      <c r="D16" s="60">
        <v>0</v>
      </c>
      <c r="E16" s="38" t="s">
        <v>19</v>
      </c>
      <c r="F16" s="38" t="s">
        <v>19</v>
      </c>
    </row>
    <row r="17" spans="1:6" x14ac:dyDescent="0.2">
      <c r="A17" s="1" t="s">
        <v>204</v>
      </c>
      <c r="B17" s="1" t="s">
        <v>203</v>
      </c>
      <c r="C17" s="60">
        <v>4960</v>
      </c>
      <c r="D17" s="60">
        <v>636</v>
      </c>
      <c r="E17" s="38" t="s">
        <v>19</v>
      </c>
      <c r="F17" s="38" t="s">
        <v>19</v>
      </c>
    </row>
    <row r="18" spans="1:6" x14ac:dyDescent="0.2">
      <c r="A18" s="1" t="s">
        <v>205</v>
      </c>
      <c r="B18" s="1" t="s">
        <v>206</v>
      </c>
      <c r="C18" s="60">
        <v>2410</v>
      </c>
      <c r="D18" s="60">
        <v>281</v>
      </c>
      <c r="E18" s="38" t="s">
        <v>19</v>
      </c>
      <c r="F18" s="38" t="s">
        <v>19</v>
      </c>
    </row>
    <row r="19" spans="1:6" x14ac:dyDescent="0.2">
      <c r="A19" s="1" t="s">
        <v>66</v>
      </c>
      <c r="B19" s="1" t="s">
        <v>248</v>
      </c>
      <c r="C19" s="60">
        <v>5613</v>
      </c>
      <c r="D19" s="60">
        <v>779</v>
      </c>
      <c r="E19" s="38" t="s">
        <v>19</v>
      </c>
      <c r="F19" s="38" t="s">
        <v>19</v>
      </c>
    </row>
    <row r="20" spans="1:6" x14ac:dyDescent="0.2">
      <c r="A20" s="1" t="s">
        <v>67</v>
      </c>
      <c r="B20" s="1" t="s">
        <v>249</v>
      </c>
      <c r="C20" s="60">
        <v>1757</v>
      </c>
      <c r="D20" s="60">
        <v>138</v>
      </c>
      <c r="E20" s="38" t="s">
        <v>19</v>
      </c>
      <c r="F20" s="38" t="s">
        <v>19</v>
      </c>
    </row>
    <row r="21" spans="1:6" x14ac:dyDescent="0.2">
      <c r="A21" s="75" t="s">
        <v>34</v>
      </c>
      <c r="B21" s="75"/>
    </row>
    <row r="22" spans="1:6" x14ac:dyDescent="0.2">
      <c r="A22" s="75" t="s">
        <v>82</v>
      </c>
      <c r="B22" s="75"/>
    </row>
    <row r="29" spans="1:6" x14ac:dyDescent="0.2">
      <c r="E29" s="77"/>
    </row>
    <row r="30" spans="1:6" x14ac:dyDescent="0.2">
      <c r="E30" s="78"/>
    </row>
    <row r="31" spans="1:6" x14ac:dyDescent="0.2">
      <c r="E31" s="79"/>
    </row>
    <row r="33" spans="5:5" x14ac:dyDescent="0.2">
      <c r="E33" s="79"/>
    </row>
  </sheetData>
  <pageMargins left="0.75" right="0.75" top="1" bottom="1" header="0" footer="0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J29"/>
  <sheetViews>
    <sheetView workbookViewId="0">
      <selection activeCell="A3" sqref="A3"/>
    </sheetView>
  </sheetViews>
  <sheetFormatPr baseColWidth="10" defaultRowHeight="12.75" x14ac:dyDescent="0.2"/>
  <cols>
    <col min="1" max="2" width="30.7109375" style="59" customWidth="1"/>
    <col min="3" max="6" width="11.42578125" style="59" customWidth="1"/>
    <col min="7" max="16384" width="11.42578125" style="59"/>
  </cols>
  <sheetData>
    <row r="1" spans="1:10" x14ac:dyDescent="0.2">
      <c r="A1" s="32" t="s">
        <v>261</v>
      </c>
      <c r="B1" s="32"/>
    </row>
    <row r="2" spans="1:10" x14ac:dyDescent="0.2">
      <c r="A2" s="76" t="s">
        <v>149</v>
      </c>
      <c r="B2" s="76"/>
    </row>
    <row r="4" spans="1:10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10" ht="27" customHeight="1" x14ac:dyDescent="0.2">
      <c r="A5" s="73" t="s">
        <v>72</v>
      </c>
      <c r="B5" s="73" t="s">
        <v>257</v>
      </c>
      <c r="C5" s="10" t="s">
        <v>187</v>
      </c>
      <c r="D5" s="10" t="s">
        <v>189</v>
      </c>
      <c r="E5" s="10" t="s">
        <v>190</v>
      </c>
      <c r="F5" s="10" t="s">
        <v>4</v>
      </c>
    </row>
    <row r="6" spans="1:10" x14ac:dyDescent="0.2">
      <c r="A6" s="22" t="s">
        <v>1</v>
      </c>
      <c r="B6" s="22" t="s">
        <v>252</v>
      </c>
      <c r="C6" s="69">
        <v>2868</v>
      </c>
      <c r="D6" s="69">
        <v>435</v>
      </c>
      <c r="E6" s="69" t="s">
        <v>19</v>
      </c>
      <c r="F6" s="69" t="s">
        <v>19</v>
      </c>
    </row>
    <row r="7" spans="1:10" x14ac:dyDescent="0.2">
      <c r="A7" s="22" t="s">
        <v>68</v>
      </c>
      <c r="B7" s="22" t="s">
        <v>253</v>
      </c>
      <c r="C7" s="69">
        <v>18095</v>
      </c>
      <c r="D7" s="69">
        <v>2734</v>
      </c>
      <c r="E7" s="69" t="s">
        <v>19</v>
      </c>
      <c r="F7" s="69" t="s">
        <v>19</v>
      </c>
    </row>
    <row r="8" spans="1:10" x14ac:dyDescent="0.2">
      <c r="A8" s="22" t="s">
        <v>69</v>
      </c>
      <c r="B8" s="22" t="s">
        <v>254</v>
      </c>
      <c r="C8" s="69">
        <v>4765</v>
      </c>
      <c r="D8" s="69">
        <v>1253</v>
      </c>
      <c r="E8" s="69">
        <v>831</v>
      </c>
      <c r="F8" s="69">
        <v>744</v>
      </c>
    </row>
    <row r="9" spans="1:10" x14ac:dyDescent="0.2">
      <c r="A9" s="22" t="s">
        <v>70</v>
      </c>
      <c r="B9" s="22" t="s">
        <v>255</v>
      </c>
      <c r="C9" s="69">
        <v>57292</v>
      </c>
      <c r="D9" s="69">
        <v>6095</v>
      </c>
      <c r="E9" s="69">
        <v>3420</v>
      </c>
      <c r="F9" s="69">
        <v>1122</v>
      </c>
    </row>
    <row r="10" spans="1:10" x14ac:dyDescent="0.2">
      <c r="A10" s="22" t="s">
        <v>73</v>
      </c>
      <c r="B10" s="22" t="s">
        <v>256</v>
      </c>
      <c r="C10" s="69">
        <v>30900</v>
      </c>
      <c r="D10" s="69">
        <v>3991</v>
      </c>
      <c r="E10" s="69" t="s">
        <v>19</v>
      </c>
      <c r="F10" s="69" t="s">
        <v>19</v>
      </c>
      <c r="J10" s="93"/>
    </row>
    <row r="11" spans="1:10" x14ac:dyDescent="0.2">
      <c r="A11" s="22" t="s">
        <v>58</v>
      </c>
      <c r="B11" s="22" t="s">
        <v>230</v>
      </c>
      <c r="C11" s="69">
        <v>23869</v>
      </c>
      <c r="D11" s="69" t="s">
        <v>19</v>
      </c>
      <c r="E11" s="69" t="s">
        <v>19</v>
      </c>
      <c r="F11" s="69" t="s">
        <v>19</v>
      </c>
    </row>
    <row r="12" spans="1:10" x14ac:dyDescent="0.2">
      <c r="A12" s="22"/>
      <c r="B12" s="22"/>
      <c r="C12" s="39"/>
      <c r="D12" s="39"/>
      <c r="E12" s="39"/>
      <c r="F12" s="39"/>
    </row>
    <row r="13" spans="1:10" ht="27" customHeight="1" x14ac:dyDescent="0.2">
      <c r="A13" s="73"/>
      <c r="B13" s="73"/>
      <c r="C13" s="10" t="s">
        <v>2</v>
      </c>
      <c r="D13" s="10" t="s">
        <v>188</v>
      </c>
      <c r="E13" s="10" t="s">
        <v>22</v>
      </c>
      <c r="F13" s="39"/>
    </row>
    <row r="14" spans="1:10" ht="27" customHeight="1" x14ac:dyDescent="0.2">
      <c r="A14" s="73" t="s">
        <v>71</v>
      </c>
      <c r="B14" s="73" t="s">
        <v>258</v>
      </c>
      <c r="C14" s="10" t="s">
        <v>187</v>
      </c>
      <c r="D14" s="10" t="s">
        <v>189</v>
      </c>
      <c r="E14" s="10" t="s">
        <v>190</v>
      </c>
      <c r="F14" s="39"/>
    </row>
    <row r="15" spans="1:10" x14ac:dyDescent="0.2">
      <c r="A15" s="22" t="s">
        <v>68</v>
      </c>
      <c r="B15" s="22" t="s">
        <v>253</v>
      </c>
      <c r="C15" s="69">
        <v>16586</v>
      </c>
      <c r="D15" s="69">
        <v>858</v>
      </c>
      <c r="E15" s="69">
        <v>161</v>
      </c>
      <c r="F15" s="39"/>
    </row>
    <row r="16" spans="1:10" x14ac:dyDescent="0.2">
      <c r="A16" s="22" t="s">
        <v>1</v>
      </c>
      <c r="B16" s="22" t="s">
        <v>252</v>
      </c>
      <c r="C16" s="69">
        <v>12442</v>
      </c>
      <c r="D16" s="69">
        <v>1177</v>
      </c>
      <c r="E16" s="69">
        <v>423</v>
      </c>
      <c r="F16" s="69"/>
    </row>
    <row r="17" spans="1:6" x14ac:dyDescent="0.2">
      <c r="A17" s="22" t="s">
        <v>80</v>
      </c>
      <c r="B17" s="22" t="s">
        <v>259</v>
      </c>
      <c r="C17" s="59">
        <v>385</v>
      </c>
      <c r="D17" s="59">
        <v>64</v>
      </c>
      <c r="E17" s="59">
        <v>0</v>
      </c>
    </row>
    <row r="18" spans="1:6" x14ac:dyDescent="0.2">
      <c r="A18" s="22" t="s">
        <v>58</v>
      </c>
      <c r="B18" s="22" t="s">
        <v>230</v>
      </c>
      <c r="C18" s="59">
        <v>758</v>
      </c>
      <c r="D18" s="59">
        <v>86</v>
      </c>
      <c r="E18" s="59">
        <v>21</v>
      </c>
    </row>
    <row r="19" spans="1:6" x14ac:dyDescent="0.2">
      <c r="A19" s="22"/>
      <c r="B19" s="22"/>
      <c r="C19" s="39"/>
      <c r="D19" s="39"/>
      <c r="E19" s="39"/>
      <c r="F19" s="39"/>
    </row>
    <row r="20" spans="1:6" ht="27" customHeight="1" x14ac:dyDescent="0.2">
      <c r="A20" s="73"/>
      <c r="B20" s="73"/>
      <c r="C20" s="10" t="s">
        <v>2</v>
      </c>
      <c r="D20" s="10" t="s">
        <v>188</v>
      </c>
      <c r="E20" s="10" t="s">
        <v>22</v>
      </c>
      <c r="F20" s="39"/>
    </row>
    <row r="21" spans="1:6" ht="27" customHeight="1" x14ac:dyDescent="0.2">
      <c r="A21" s="73" t="s">
        <v>17</v>
      </c>
      <c r="B21" s="73" t="s">
        <v>260</v>
      </c>
      <c r="C21" s="10" t="s">
        <v>187</v>
      </c>
      <c r="D21" s="10" t="s">
        <v>189</v>
      </c>
      <c r="E21" s="10" t="s">
        <v>190</v>
      </c>
      <c r="F21" s="39"/>
    </row>
    <row r="22" spans="1:6" x14ac:dyDescent="0.2">
      <c r="A22" s="22" t="s">
        <v>68</v>
      </c>
      <c r="B22" s="22" t="s">
        <v>252</v>
      </c>
      <c r="C22" s="59">
        <v>203</v>
      </c>
      <c r="D22" s="59">
        <v>45</v>
      </c>
      <c r="E22" s="59">
        <v>23</v>
      </c>
      <c r="F22" s="39"/>
    </row>
    <row r="23" spans="1:6" x14ac:dyDescent="0.2">
      <c r="A23" s="22" t="s">
        <v>1</v>
      </c>
      <c r="B23" s="22" t="s">
        <v>253</v>
      </c>
      <c r="C23" s="59">
        <v>56</v>
      </c>
      <c r="D23" s="59">
        <v>10</v>
      </c>
      <c r="E23" s="59">
        <v>5</v>
      </c>
      <c r="F23" s="39"/>
    </row>
    <row r="24" spans="1:6" x14ac:dyDescent="0.2">
      <c r="A24" s="22" t="s">
        <v>69</v>
      </c>
      <c r="B24" s="22" t="s">
        <v>254</v>
      </c>
      <c r="C24" s="59">
        <v>0</v>
      </c>
      <c r="D24" s="59">
        <v>0</v>
      </c>
      <c r="E24" s="59">
        <v>0</v>
      </c>
      <c r="F24" s="39"/>
    </row>
    <row r="25" spans="1:6" x14ac:dyDescent="0.2">
      <c r="A25" s="22" t="s">
        <v>70</v>
      </c>
      <c r="B25" s="22" t="s">
        <v>255</v>
      </c>
      <c r="C25" s="59">
        <v>17</v>
      </c>
      <c r="D25" s="59">
        <v>1</v>
      </c>
      <c r="E25" s="59">
        <v>0</v>
      </c>
      <c r="F25" s="39"/>
    </row>
    <row r="26" spans="1:6" x14ac:dyDescent="0.2">
      <c r="A26" s="22" t="s">
        <v>58</v>
      </c>
      <c r="B26" s="22" t="s">
        <v>230</v>
      </c>
      <c r="C26" s="59">
        <v>21</v>
      </c>
      <c r="D26" s="59">
        <v>1</v>
      </c>
      <c r="E26" s="59">
        <v>0</v>
      </c>
      <c r="F26" s="39"/>
    </row>
    <row r="27" spans="1:6" x14ac:dyDescent="0.2">
      <c r="A27" s="75" t="s">
        <v>34</v>
      </c>
      <c r="B27" s="75"/>
    </row>
    <row r="28" spans="1:6" x14ac:dyDescent="0.2">
      <c r="A28" s="75" t="s">
        <v>82</v>
      </c>
      <c r="B28" s="75"/>
    </row>
    <row r="29" spans="1:6" x14ac:dyDescent="0.2">
      <c r="A29" s="33"/>
      <c r="B29" s="33"/>
    </row>
  </sheetData>
  <phoneticPr fontId="2" type="noConversion"/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F28"/>
  <sheetViews>
    <sheetView workbookViewId="0">
      <selection activeCell="A3" sqref="A3"/>
    </sheetView>
  </sheetViews>
  <sheetFormatPr baseColWidth="10" defaultRowHeight="12.75" x14ac:dyDescent="0.2"/>
  <cols>
    <col min="1" max="2" width="30.7109375" style="59" customWidth="1"/>
    <col min="3" max="5" width="11.42578125" style="59" customWidth="1"/>
    <col min="6" max="16384" width="11.42578125" style="59"/>
  </cols>
  <sheetData>
    <row r="1" spans="1:6" x14ac:dyDescent="0.2">
      <c r="A1" s="32" t="s">
        <v>262</v>
      </c>
      <c r="B1" s="32"/>
    </row>
    <row r="2" spans="1:6" x14ac:dyDescent="0.2">
      <c r="A2" s="76" t="s">
        <v>150</v>
      </c>
      <c r="B2" s="76"/>
    </row>
    <row r="4" spans="1:6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ht="27" customHeight="1" x14ac:dyDescent="0.2">
      <c r="A5" s="73" t="s">
        <v>72</v>
      </c>
      <c r="B5" s="73" t="s">
        <v>257</v>
      </c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59" t="s">
        <v>1</v>
      </c>
      <c r="B6" s="22" t="s">
        <v>252</v>
      </c>
      <c r="C6" s="94">
        <v>2615</v>
      </c>
      <c r="D6" s="94">
        <v>365</v>
      </c>
      <c r="E6" s="94">
        <v>256</v>
      </c>
      <c r="F6" s="94">
        <v>72</v>
      </c>
    </row>
    <row r="7" spans="1:6" x14ac:dyDescent="0.2">
      <c r="A7" s="59" t="s">
        <v>68</v>
      </c>
      <c r="B7" s="22" t="s">
        <v>253</v>
      </c>
      <c r="C7" s="94">
        <v>18970</v>
      </c>
      <c r="D7" s="94">
        <v>3144</v>
      </c>
      <c r="E7" s="94">
        <v>1448</v>
      </c>
      <c r="F7" s="94">
        <v>237</v>
      </c>
    </row>
    <row r="8" spans="1:6" x14ac:dyDescent="0.2">
      <c r="A8" s="59" t="s">
        <v>69</v>
      </c>
      <c r="B8" s="22" t="s">
        <v>254</v>
      </c>
      <c r="C8" s="94">
        <v>3584</v>
      </c>
      <c r="D8" s="94">
        <v>920</v>
      </c>
      <c r="E8" s="94">
        <v>531</v>
      </c>
      <c r="F8" s="94">
        <v>395</v>
      </c>
    </row>
    <row r="9" spans="1:6" x14ac:dyDescent="0.2">
      <c r="A9" s="59" t="s">
        <v>70</v>
      </c>
      <c r="B9" s="22" t="s">
        <v>255</v>
      </c>
      <c r="C9" s="94">
        <v>53769</v>
      </c>
      <c r="D9" s="94">
        <v>5750</v>
      </c>
      <c r="E9" s="94">
        <v>3122</v>
      </c>
      <c r="F9" s="94">
        <v>1076</v>
      </c>
    </row>
    <row r="10" spans="1:6" x14ac:dyDescent="0.2">
      <c r="A10" s="59" t="s">
        <v>73</v>
      </c>
      <c r="B10" s="22" t="s">
        <v>256</v>
      </c>
      <c r="C10" s="94">
        <v>32475</v>
      </c>
      <c r="D10" s="94">
        <v>4173</v>
      </c>
      <c r="E10" s="94">
        <v>1579</v>
      </c>
      <c r="F10" s="94">
        <v>703</v>
      </c>
    </row>
    <row r="11" spans="1:6" x14ac:dyDescent="0.2">
      <c r="A11" s="59" t="s">
        <v>58</v>
      </c>
      <c r="B11" s="22" t="s">
        <v>230</v>
      </c>
      <c r="C11" s="94">
        <v>31224</v>
      </c>
      <c r="D11" s="94">
        <v>5049</v>
      </c>
      <c r="E11" s="94">
        <v>7650</v>
      </c>
      <c r="F11" s="94">
        <v>4354</v>
      </c>
    </row>
    <row r="12" spans="1:6" x14ac:dyDescent="0.2">
      <c r="C12" s="39"/>
      <c r="D12" s="39"/>
      <c r="E12" s="39"/>
      <c r="F12" s="39"/>
    </row>
    <row r="13" spans="1:6" ht="27" customHeight="1" x14ac:dyDescent="0.2">
      <c r="A13" s="73"/>
      <c r="B13" s="73"/>
      <c r="C13" s="10" t="s">
        <v>2</v>
      </c>
      <c r="D13" s="10" t="s">
        <v>188</v>
      </c>
      <c r="E13" s="10" t="s">
        <v>22</v>
      </c>
      <c r="F13" s="39"/>
    </row>
    <row r="14" spans="1:6" ht="27" customHeight="1" x14ac:dyDescent="0.2">
      <c r="A14" s="73" t="s">
        <v>71</v>
      </c>
      <c r="B14" s="73" t="s">
        <v>258</v>
      </c>
      <c r="C14" s="10" t="s">
        <v>187</v>
      </c>
      <c r="D14" s="10" t="s">
        <v>189</v>
      </c>
      <c r="E14" s="10" t="s">
        <v>190</v>
      </c>
      <c r="F14" s="39"/>
    </row>
    <row r="15" spans="1:6" x14ac:dyDescent="0.2">
      <c r="A15" s="59" t="s">
        <v>68</v>
      </c>
      <c r="B15" s="22" t="s">
        <v>253</v>
      </c>
      <c r="C15" s="94">
        <f>9930+7318</f>
        <v>17248</v>
      </c>
      <c r="D15" s="94">
        <v>2242</v>
      </c>
      <c r="E15" s="94">
        <v>1035</v>
      </c>
      <c r="F15" s="80"/>
    </row>
    <row r="16" spans="1:6" x14ac:dyDescent="0.2">
      <c r="A16" s="59" t="s">
        <v>1</v>
      </c>
      <c r="B16" s="22" t="s">
        <v>252</v>
      </c>
      <c r="C16" s="94">
        <v>12574</v>
      </c>
      <c r="D16" s="94">
        <v>1478</v>
      </c>
      <c r="E16" s="94">
        <v>462</v>
      </c>
      <c r="F16" s="80"/>
    </row>
    <row r="17" spans="1:6" x14ac:dyDescent="0.2">
      <c r="A17" s="59" t="s">
        <v>80</v>
      </c>
      <c r="B17" s="22" t="s">
        <v>259</v>
      </c>
      <c r="C17" s="94">
        <v>527</v>
      </c>
      <c r="D17" s="94">
        <v>31</v>
      </c>
      <c r="E17" s="94">
        <v>17</v>
      </c>
      <c r="F17" s="80"/>
    </row>
    <row r="18" spans="1:6" x14ac:dyDescent="0.2">
      <c r="A18" s="59" t="s">
        <v>58</v>
      </c>
      <c r="B18" s="22" t="s">
        <v>230</v>
      </c>
      <c r="C18" s="94">
        <v>734</v>
      </c>
      <c r="D18" s="94">
        <v>89</v>
      </c>
      <c r="E18" s="94">
        <v>52</v>
      </c>
      <c r="F18" s="80"/>
    </row>
    <row r="19" spans="1:6" x14ac:dyDescent="0.2">
      <c r="C19" s="39"/>
      <c r="D19" s="39"/>
      <c r="E19" s="39"/>
      <c r="F19" s="39"/>
    </row>
    <row r="20" spans="1:6" ht="27" customHeight="1" x14ac:dyDescent="0.2">
      <c r="A20" s="73"/>
      <c r="B20" s="73"/>
      <c r="C20" s="10" t="s">
        <v>2</v>
      </c>
      <c r="D20" s="10" t="s">
        <v>188</v>
      </c>
      <c r="E20" s="10" t="s">
        <v>22</v>
      </c>
      <c r="F20" s="39"/>
    </row>
    <row r="21" spans="1:6" ht="27" customHeight="1" x14ac:dyDescent="0.2">
      <c r="A21" s="73" t="s">
        <v>17</v>
      </c>
      <c r="B21" s="73" t="s">
        <v>260</v>
      </c>
      <c r="C21" s="10" t="s">
        <v>187</v>
      </c>
      <c r="D21" s="10" t="s">
        <v>189</v>
      </c>
      <c r="E21" s="10" t="s">
        <v>190</v>
      </c>
      <c r="F21" s="39"/>
    </row>
    <row r="22" spans="1:6" x14ac:dyDescent="0.2">
      <c r="A22" s="59" t="s">
        <v>68</v>
      </c>
      <c r="B22" s="22" t="s">
        <v>252</v>
      </c>
      <c r="C22" s="94">
        <v>316</v>
      </c>
      <c r="D22" s="94">
        <v>35</v>
      </c>
      <c r="E22" s="94">
        <v>25</v>
      </c>
      <c r="F22" s="39"/>
    </row>
    <row r="23" spans="1:6" x14ac:dyDescent="0.2">
      <c r="A23" s="59" t="s">
        <v>1</v>
      </c>
      <c r="B23" s="22" t="s">
        <v>253</v>
      </c>
      <c r="C23" s="94">
        <v>67</v>
      </c>
      <c r="D23" s="94">
        <v>13</v>
      </c>
      <c r="E23" s="94">
        <v>4</v>
      </c>
      <c r="F23" s="39"/>
    </row>
    <row r="24" spans="1:6" x14ac:dyDescent="0.2">
      <c r="A24" s="59" t="s">
        <v>69</v>
      </c>
      <c r="B24" s="22" t="s">
        <v>254</v>
      </c>
      <c r="C24" s="94">
        <v>1</v>
      </c>
      <c r="D24" s="94">
        <v>0</v>
      </c>
      <c r="E24" s="94">
        <v>0</v>
      </c>
      <c r="F24" s="39"/>
    </row>
    <row r="25" spans="1:6" x14ac:dyDescent="0.2">
      <c r="A25" s="59" t="s">
        <v>70</v>
      </c>
      <c r="B25" s="22" t="s">
        <v>255</v>
      </c>
      <c r="C25" s="94">
        <v>11</v>
      </c>
      <c r="D25" s="94">
        <v>0</v>
      </c>
      <c r="E25" s="94">
        <v>0</v>
      </c>
      <c r="F25" s="39"/>
    </row>
    <row r="26" spans="1:6" x14ac:dyDescent="0.2">
      <c r="A26" s="59" t="s">
        <v>58</v>
      </c>
      <c r="B26" s="22" t="s">
        <v>230</v>
      </c>
      <c r="C26" s="94">
        <v>32</v>
      </c>
      <c r="D26" s="94">
        <v>1</v>
      </c>
      <c r="E26" s="94">
        <v>0</v>
      </c>
      <c r="F26" s="39"/>
    </row>
    <row r="27" spans="1:6" x14ac:dyDescent="0.2">
      <c r="A27" s="75" t="s">
        <v>34</v>
      </c>
      <c r="B27" s="75"/>
      <c r="C27" s="39"/>
      <c r="D27" s="39"/>
      <c r="E27" s="39"/>
      <c r="F27" s="39"/>
    </row>
    <row r="28" spans="1:6" x14ac:dyDescent="0.2">
      <c r="A28" s="75" t="s">
        <v>82</v>
      </c>
      <c r="B28" s="75"/>
      <c r="C28" s="39"/>
      <c r="D28" s="39"/>
      <c r="E28" s="39"/>
      <c r="F28" s="39"/>
    </row>
  </sheetData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3" sqref="A3"/>
    </sheetView>
  </sheetViews>
  <sheetFormatPr baseColWidth="10" defaultRowHeight="12.75" x14ac:dyDescent="0.2"/>
  <cols>
    <col min="1" max="2" width="35.7109375" customWidth="1"/>
    <col min="4" max="4" width="11.42578125" customWidth="1"/>
  </cols>
  <sheetData>
    <row r="1" spans="1:10" x14ac:dyDescent="0.2">
      <c r="A1" s="5" t="s">
        <v>191</v>
      </c>
      <c r="B1" s="5"/>
      <c r="C1" s="1"/>
      <c r="D1" s="1"/>
      <c r="E1" s="1"/>
      <c r="F1" s="1"/>
      <c r="G1" s="1"/>
      <c r="H1" s="1"/>
      <c r="I1" s="1"/>
      <c r="J1" s="1"/>
    </row>
    <row r="2" spans="1:10" x14ac:dyDescent="0.2">
      <c r="A2" s="24" t="s">
        <v>85</v>
      </c>
      <c r="B2" s="24"/>
      <c r="C2" s="1"/>
      <c r="D2" s="1"/>
      <c r="E2" s="1"/>
      <c r="F2" s="1"/>
      <c r="G2" s="1"/>
      <c r="H2" s="1"/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7" customHeight="1" x14ac:dyDescent="0.2">
      <c r="A4" s="10"/>
      <c r="B4" s="10"/>
      <c r="C4" s="10" t="s">
        <v>2</v>
      </c>
      <c r="D4" s="10"/>
      <c r="E4" s="10" t="s">
        <v>188</v>
      </c>
      <c r="F4" s="10"/>
      <c r="G4" s="10" t="s">
        <v>22</v>
      </c>
      <c r="H4" s="10"/>
      <c r="I4" s="10" t="s">
        <v>4</v>
      </c>
      <c r="J4" s="10"/>
    </row>
    <row r="5" spans="1:10" ht="27" customHeight="1" x14ac:dyDescent="0.2">
      <c r="A5" s="10"/>
      <c r="B5" s="10"/>
      <c r="C5" s="10" t="s">
        <v>187</v>
      </c>
      <c r="D5" s="10" t="s">
        <v>11</v>
      </c>
      <c r="E5" s="10" t="s">
        <v>189</v>
      </c>
      <c r="F5" s="10" t="s">
        <v>11</v>
      </c>
      <c r="G5" s="10" t="s">
        <v>190</v>
      </c>
      <c r="H5" s="10" t="s">
        <v>11</v>
      </c>
      <c r="I5" s="10" t="s">
        <v>4</v>
      </c>
      <c r="J5" s="10" t="s">
        <v>11</v>
      </c>
    </row>
    <row r="6" spans="1:10" x14ac:dyDescent="0.2">
      <c r="A6" s="5" t="s">
        <v>14</v>
      </c>
      <c r="B6" s="5" t="s">
        <v>172</v>
      </c>
      <c r="C6" s="50">
        <f>C7+C8+C9+C10+C11+C13+C12</f>
        <v>166961</v>
      </c>
      <c r="D6" s="51">
        <v>1</v>
      </c>
      <c r="E6" s="50">
        <f>E7+E8+E9+E10+E11+E12+E13</f>
        <v>22920</v>
      </c>
      <c r="F6" s="51">
        <v>1</v>
      </c>
      <c r="G6" s="50">
        <f>G7+G8+G9+G10+G11+G12+G13</f>
        <v>12323</v>
      </c>
      <c r="H6" s="51">
        <v>1</v>
      </c>
      <c r="I6" s="50">
        <v>5867</v>
      </c>
      <c r="J6" s="51">
        <v>1</v>
      </c>
    </row>
    <row r="7" spans="1:10" x14ac:dyDescent="0.2">
      <c r="A7" s="27" t="s">
        <v>164</v>
      </c>
      <c r="B7" s="27" t="s">
        <v>173</v>
      </c>
      <c r="C7" s="54">
        <v>4676</v>
      </c>
      <c r="D7" s="55">
        <f>C7/C$6</f>
        <v>2.8006540449566065E-2</v>
      </c>
      <c r="E7" s="54">
        <v>686</v>
      </c>
      <c r="F7" s="55">
        <f t="shared" ref="F7:F13" si="0">E7/E$6</f>
        <v>2.9930191972076789E-2</v>
      </c>
      <c r="G7" s="87">
        <v>594</v>
      </c>
      <c r="H7" s="55">
        <f t="shared" ref="H7:H13" si="1">G7/G$6</f>
        <v>4.8202548080824477E-2</v>
      </c>
      <c r="I7" s="87">
        <v>220</v>
      </c>
      <c r="J7" s="55">
        <f t="shared" ref="J7:J13" si="2">I7/I$6</f>
        <v>3.7497869439236407E-2</v>
      </c>
    </row>
    <row r="8" spans="1:10" ht="12.75" customHeight="1" x14ac:dyDescent="0.2">
      <c r="A8" s="27" t="s">
        <v>165</v>
      </c>
      <c r="B8" s="27" t="s">
        <v>174</v>
      </c>
      <c r="C8" s="54">
        <v>768</v>
      </c>
      <c r="D8" s="55">
        <f t="shared" ref="D8:D13" si="3">C8/C$6</f>
        <v>4.5998766178928013E-3</v>
      </c>
      <c r="E8" s="54">
        <v>327</v>
      </c>
      <c r="F8" s="55">
        <f t="shared" si="0"/>
        <v>1.4267015706806283E-2</v>
      </c>
      <c r="G8" s="87">
        <v>289</v>
      </c>
      <c r="H8" s="55">
        <f t="shared" si="1"/>
        <v>2.3452081473667126E-2</v>
      </c>
      <c r="I8" s="87">
        <v>272</v>
      </c>
      <c r="J8" s="55">
        <f t="shared" si="2"/>
        <v>4.6361002215783195E-2</v>
      </c>
    </row>
    <row r="9" spans="1:10" x14ac:dyDescent="0.2">
      <c r="A9" s="27" t="s">
        <v>175</v>
      </c>
      <c r="B9" s="27" t="s">
        <v>176</v>
      </c>
      <c r="C9" s="54">
        <v>110623</v>
      </c>
      <c r="D9" s="55">
        <f t="shared" si="3"/>
        <v>0.66256790507962937</v>
      </c>
      <c r="E9" s="54">
        <v>13262</v>
      </c>
      <c r="F9" s="55">
        <f t="shared" si="0"/>
        <v>0.57862129144851659</v>
      </c>
      <c r="G9" s="88">
        <v>6276</v>
      </c>
      <c r="H9" s="55">
        <f t="shared" si="1"/>
        <v>0.50929156861153935</v>
      </c>
      <c r="I9" s="87">
        <v>2200</v>
      </c>
      <c r="J9" s="55">
        <f t="shared" si="2"/>
        <v>0.37497869439236409</v>
      </c>
    </row>
    <row r="10" spans="1:10" x14ac:dyDescent="0.2">
      <c r="A10" s="27" t="s">
        <v>166</v>
      </c>
      <c r="B10" s="27" t="s">
        <v>177</v>
      </c>
      <c r="C10" s="54">
        <v>2716</v>
      </c>
      <c r="D10" s="55">
        <f t="shared" si="3"/>
        <v>1.6267271997652145E-2</v>
      </c>
      <c r="E10" s="54">
        <v>312</v>
      </c>
      <c r="F10" s="55">
        <f t="shared" si="0"/>
        <v>1.3612565445026177E-2</v>
      </c>
      <c r="G10" s="87">
        <v>136</v>
      </c>
      <c r="H10" s="55">
        <f t="shared" si="1"/>
        <v>1.1036273634666883E-2</v>
      </c>
      <c r="I10" s="87">
        <v>69</v>
      </c>
      <c r="J10" s="55">
        <f t="shared" si="2"/>
        <v>1.1760695415033237E-2</v>
      </c>
    </row>
    <row r="11" spans="1:10" x14ac:dyDescent="0.2">
      <c r="A11" s="27" t="s">
        <v>167</v>
      </c>
      <c r="B11" s="27" t="s">
        <v>178</v>
      </c>
      <c r="C11" s="54">
        <v>25006</v>
      </c>
      <c r="D11" s="55">
        <f t="shared" si="3"/>
        <v>0.14977150352477525</v>
      </c>
      <c r="E11" s="54">
        <v>4007</v>
      </c>
      <c r="F11" s="55">
        <f t="shared" si="0"/>
        <v>0.17482547993019198</v>
      </c>
      <c r="G11" s="88">
        <v>2340</v>
      </c>
      <c r="H11" s="55">
        <f t="shared" si="1"/>
        <v>0.18988882577294491</v>
      </c>
      <c r="I11" s="87">
        <v>1799</v>
      </c>
      <c r="J11" s="55">
        <f t="shared" si="2"/>
        <v>0.30663030509630135</v>
      </c>
    </row>
    <row r="12" spans="1:10" x14ac:dyDescent="0.2">
      <c r="A12" s="27" t="s">
        <v>168</v>
      </c>
      <c r="B12" s="27" t="s">
        <v>179</v>
      </c>
      <c r="C12" s="54">
        <v>15251</v>
      </c>
      <c r="D12" s="55">
        <f t="shared" si="3"/>
        <v>9.1344685285785307E-2</v>
      </c>
      <c r="E12" s="54">
        <v>3719</v>
      </c>
      <c r="F12" s="55">
        <f t="shared" si="0"/>
        <v>0.16226003490401397</v>
      </c>
      <c r="G12" s="88">
        <v>2226</v>
      </c>
      <c r="H12" s="55">
        <f t="shared" si="1"/>
        <v>0.18063783169682707</v>
      </c>
      <c r="I12" s="87">
        <v>1286</v>
      </c>
      <c r="J12" s="55">
        <f t="shared" si="2"/>
        <v>0.21919209135844556</v>
      </c>
    </row>
    <row r="13" spans="1:10" x14ac:dyDescent="0.2">
      <c r="A13" s="27" t="s">
        <v>169</v>
      </c>
      <c r="B13" s="27" t="s">
        <v>180</v>
      </c>
      <c r="C13" s="54">
        <v>7921</v>
      </c>
      <c r="D13" s="55">
        <f t="shared" si="3"/>
        <v>4.7442217044699059E-2</v>
      </c>
      <c r="E13" s="54">
        <v>607</v>
      </c>
      <c r="F13" s="4">
        <f t="shared" si="0"/>
        <v>2.6483420593368237E-2</v>
      </c>
      <c r="G13" s="89">
        <v>462</v>
      </c>
      <c r="H13" s="55">
        <f t="shared" si="1"/>
        <v>3.7490870729530147E-2</v>
      </c>
      <c r="I13" s="89">
        <v>21</v>
      </c>
      <c r="J13" s="55">
        <f t="shared" si="2"/>
        <v>3.5793420828362024E-3</v>
      </c>
    </row>
    <row r="14" spans="1:10" x14ac:dyDescent="0.2">
      <c r="A14" s="5" t="s">
        <v>15</v>
      </c>
      <c r="B14" s="5" t="s">
        <v>181</v>
      </c>
      <c r="C14" s="50">
        <v>17347</v>
      </c>
      <c r="D14" s="65">
        <v>1</v>
      </c>
      <c r="E14" s="50">
        <v>2754</v>
      </c>
      <c r="F14" s="65">
        <v>1</v>
      </c>
      <c r="G14" s="50">
        <v>1714</v>
      </c>
      <c r="H14" s="51">
        <v>1</v>
      </c>
      <c r="I14" s="50">
        <v>728</v>
      </c>
      <c r="J14" s="58">
        <v>1</v>
      </c>
    </row>
    <row r="15" spans="1:10" x14ac:dyDescent="0.2">
      <c r="A15" s="27" t="s">
        <v>170</v>
      </c>
      <c r="B15" s="27" t="s">
        <v>182</v>
      </c>
      <c r="C15" s="54">
        <v>11106</v>
      </c>
      <c r="D15" s="55">
        <f>D14*C15/C14</f>
        <v>0.64022597567302708</v>
      </c>
      <c r="E15" s="54">
        <v>1653</v>
      </c>
      <c r="F15" s="55">
        <f>F14*E15/E14</f>
        <v>0.60021786492374729</v>
      </c>
      <c r="G15" s="54">
        <v>1075</v>
      </c>
      <c r="H15" s="4">
        <f>H14*G15/G14</f>
        <v>0.62718786464410736</v>
      </c>
      <c r="I15" s="54">
        <v>335</v>
      </c>
      <c r="J15" s="55">
        <f>J14*I15/I14</f>
        <v>0.46016483516483514</v>
      </c>
    </row>
    <row r="16" spans="1:10" x14ac:dyDescent="0.2">
      <c r="A16" s="27" t="s">
        <v>171</v>
      </c>
      <c r="B16" s="27" t="s">
        <v>183</v>
      </c>
      <c r="C16" s="54">
        <v>6241</v>
      </c>
      <c r="D16" s="55">
        <f>D14*C16/C14</f>
        <v>0.35977402432697297</v>
      </c>
      <c r="E16" s="54">
        <v>1101</v>
      </c>
      <c r="F16" s="55">
        <f>F14*E16/E14</f>
        <v>0.39978213507625271</v>
      </c>
      <c r="G16" s="54">
        <v>639</v>
      </c>
      <c r="H16" s="4">
        <f>H14*G16/G14</f>
        <v>0.37281213535589264</v>
      </c>
      <c r="I16" s="54">
        <v>393</v>
      </c>
      <c r="J16" s="55">
        <f>J14*I16/I14</f>
        <v>0.5398351648351648</v>
      </c>
    </row>
    <row r="17" spans="1:10" x14ac:dyDescent="0.2">
      <c r="A17" s="5" t="s">
        <v>41</v>
      </c>
      <c r="B17" s="5" t="s">
        <v>184</v>
      </c>
      <c r="C17" s="103">
        <f>C14/$C$6</f>
        <v>0.10389851522211774</v>
      </c>
      <c r="D17" s="103"/>
      <c r="E17" s="103">
        <f>E14/$E$6</f>
        <v>0.12015706806282722</v>
      </c>
      <c r="F17" s="103"/>
      <c r="G17" s="103">
        <f>G14/$G$6</f>
        <v>0.13908950742513998</v>
      </c>
      <c r="H17" s="103"/>
      <c r="I17" s="103">
        <f>I14/$G$6</f>
        <v>5.9076523573805079E-2</v>
      </c>
      <c r="J17" s="103"/>
    </row>
    <row r="18" spans="1:10" x14ac:dyDescent="0.2">
      <c r="A18" s="5" t="s">
        <v>40</v>
      </c>
      <c r="B18" s="5" t="s">
        <v>185</v>
      </c>
      <c r="C18" s="104">
        <f>C6/23713398*10000</f>
        <v>70.407876593645497</v>
      </c>
      <c r="D18" s="104"/>
      <c r="E18" s="104">
        <f>E6/2511220*10000</f>
        <v>91.270378541107505</v>
      </c>
      <c r="F18" s="104"/>
      <c r="G18" s="104">
        <f>G6/1294491*10000</f>
        <v>95.195717853581058</v>
      </c>
      <c r="H18" s="104"/>
      <c r="I18" s="104">
        <f>I6/412968*10000</f>
        <v>142.06911915693226</v>
      </c>
      <c r="J18" s="104"/>
    </row>
    <row r="19" spans="1:10" x14ac:dyDescent="0.2">
      <c r="A19" s="5" t="s">
        <v>42</v>
      </c>
      <c r="B19" s="5" t="s">
        <v>186</v>
      </c>
      <c r="C19" s="103">
        <v>0.26555534560825234</v>
      </c>
      <c r="D19" s="103"/>
      <c r="E19" s="103">
        <f>4617/E6</f>
        <v>0.20143979057591624</v>
      </c>
      <c r="F19" s="103"/>
      <c r="G19" s="103">
        <f>2360/G6</f>
        <v>0.19151180718980768</v>
      </c>
      <c r="H19" s="103"/>
      <c r="I19" s="103">
        <f>1042/I6</f>
        <v>0.17760354525311062</v>
      </c>
      <c r="J19" s="103"/>
    </row>
    <row r="20" spans="1:10" x14ac:dyDescent="0.2">
      <c r="A20" s="2" t="s">
        <v>75</v>
      </c>
      <c r="B20" s="2"/>
      <c r="C20" s="1"/>
      <c r="D20" s="1"/>
      <c r="E20" s="1"/>
      <c r="F20" s="1"/>
      <c r="G20" s="1"/>
      <c r="H20" s="1"/>
    </row>
    <row r="21" spans="1:10" x14ac:dyDescent="0.2">
      <c r="A21" s="2" t="s">
        <v>83</v>
      </c>
      <c r="B21" s="2"/>
      <c r="C21" s="1"/>
      <c r="D21" s="1"/>
      <c r="E21" s="1"/>
      <c r="F21" s="1"/>
      <c r="G21" s="1"/>
      <c r="H21" s="1"/>
    </row>
    <row r="22" spans="1:10" x14ac:dyDescent="0.2">
      <c r="A22" s="2" t="s">
        <v>0</v>
      </c>
      <c r="B22" s="2"/>
      <c r="C22" s="1"/>
      <c r="D22" s="1"/>
      <c r="E22" s="1"/>
    </row>
    <row r="23" spans="1:10" x14ac:dyDescent="0.2">
      <c r="A23" s="2" t="s">
        <v>84</v>
      </c>
      <c r="B23" s="2"/>
      <c r="C23" s="1"/>
      <c r="D23" s="1"/>
      <c r="E23" s="1"/>
    </row>
    <row r="24" spans="1:10" x14ac:dyDescent="0.2">
      <c r="A24" s="1"/>
      <c r="B24" s="1"/>
      <c r="C24" s="1"/>
      <c r="E24" s="1"/>
    </row>
    <row r="25" spans="1:10" x14ac:dyDescent="0.2">
      <c r="A25" s="1"/>
      <c r="B25" s="1"/>
      <c r="C25" s="1"/>
      <c r="E25" s="1"/>
    </row>
    <row r="26" spans="1:10" x14ac:dyDescent="0.2">
      <c r="A26" s="1"/>
      <c r="B26" s="1"/>
      <c r="C26" s="1"/>
      <c r="E26" s="1"/>
    </row>
  </sheetData>
  <mergeCells count="12">
    <mergeCell ref="G18:H18"/>
    <mergeCell ref="I18:J18"/>
    <mergeCell ref="C19:D19"/>
    <mergeCell ref="E19:F19"/>
    <mergeCell ref="G19:H19"/>
    <mergeCell ref="I19:J19"/>
    <mergeCell ref="C17:D17"/>
    <mergeCell ref="E17:F17"/>
    <mergeCell ref="G17:H17"/>
    <mergeCell ref="I17:J17"/>
    <mergeCell ref="C18:D18"/>
    <mergeCell ref="E18:F18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G29"/>
  <sheetViews>
    <sheetView workbookViewId="0">
      <selection activeCell="A3" sqref="A3"/>
    </sheetView>
  </sheetViews>
  <sheetFormatPr baseColWidth="10" defaultRowHeight="12.75" x14ac:dyDescent="0.2"/>
  <cols>
    <col min="1" max="2" width="30.7109375" style="59" customWidth="1"/>
    <col min="3" max="5" width="11.42578125" style="59" customWidth="1"/>
    <col min="6" max="16384" width="11.42578125" style="59"/>
  </cols>
  <sheetData>
    <row r="1" spans="1:7" x14ac:dyDescent="0.2">
      <c r="A1" s="32" t="s">
        <v>263</v>
      </c>
      <c r="B1" s="32"/>
    </row>
    <row r="2" spans="1:7" x14ac:dyDescent="0.2">
      <c r="A2" s="76" t="s">
        <v>151</v>
      </c>
      <c r="B2" s="76"/>
    </row>
    <row r="4" spans="1:7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  <c r="G4" s="39"/>
    </row>
    <row r="5" spans="1:7" ht="27" customHeight="1" x14ac:dyDescent="0.2">
      <c r="A5" s="73" t="s">
        <v>72</v>
      </c>
      <c r="B5" s="73" t="s">
        <v>257</v>
      </c>
      <c r="C5" s="10" t="s">
        <v>187</v>
      </c>
      <c r="D5" s="10" t="s">
        <v>189</v>
      </c>
      <c r="E5" s="10" t="s">
        <v>190</v>
      </c>
      <c r="F5" s="10" t="s">
        <v>4</v>
      </c>
      <c r="G5" s="39"/>
    </row>
    <row r="6" spans="1:7" x14ac:dyDescent="0.2">
      <c r="A6" s="59" t="s">
        <v>1</v>
      </c>
      <c r="B6" s="22" t="s">
        <v>252</v>
      </c>
      <c r="C6" s="95">
        <v>2140</v>
      </c>
      <c r="D6" s="95">
        <v>374</v>
      </c>
      <c r="E6" s="95">
        <v>257</v>
      </c>
      <c r="F6" s="95">
        <v>72</v>
      </c>
      <c r="G6" s="39"/>
    </row>
    <row r="7" spans="1:7" x14ac:dyDescent="0.2">
      <c r="A7" s="59" t="s">
        <v>68</v>
      </c>
      <c r="B7" s="22" t="s">
        <v>253</v>
      </c>
      <c r="C7" s="95">
        <v>16402</v>
      </c>
      <c r="D7" s="95">
        <v>2621</v>
      </c>
      <c r="E7" s="95">
        <v>1170</v>
      </c>
      <c r="F7" s="95">
        <v>197</v>
      </c>
      <c r="G7" s="39"/>
    </row>
    <row r="8" spans="1:7" x14ac:dyDescent="0.2">
      <c r="A8" s="59" t="s">
        <v>69</v>
      </c>
      <c r="B8" s="22" t="s">
        <v>254</v>
      </c>
      <c r="C8" s="95">
        <v>3378</v>
      </c>
      <c r="D8" s="95">
        <v>751</v>
      </c>
      <c r="E8" s="95">
        <v>475</v>
      </c>
      <c r="F8" s="95">
        <v>320</v>
      </c>
      <c r="G8" s="39"/>
    </row>
    <row r="9" spans="1:7" x14ac:dyDescent="0.2">
      <c r="A9" s="59" t="s">
        <v>70</v>
      </c>
      <c r="B9" s="22" t="s">
        <v>255</v>
      </c>
      <c r="C9" s="95">
        <v>51337</v>
      </c>
      <c r="D9" s="95">
        <v>5751</v>
      </c>
      <c r="E9" s="95">
        <v>3324</v>
      </c>
      <c r="F9" s="95">
        <v>1112</v>
      </c>
      <c r="G9" s="39"/>
    </row>
    <row r="10" spans="1:7" x14ac:dyDescent="0.2">
      <c r="A10" s="59" t="s">
        <v>73</v>
      </c>
      <c r="B10" s="22" t="s">
        <v>256</v>
      </c>
      <c r="C10" s="95">
        <v>28051</v>
      </c>
      <c r="D10" s="95">
        <v>3948</v>
      </c>
      <c r="E10" s="95">
        <v>1488</v>
      </c>
      <c r="F10" s="95">
        <v>693</v>
      </c>
      <c r="G10" s="39"/>
    </row>
    <row r="11" spans="1:7" x14ac:dyDescent="0.2">
      <c r="A11" s="59" t="s">
        <v>58</v>
      </c>
      <c r="B11" s="22" t="s">
        <v>230</v>
      </c>
      <c r="C11" s="95">
        <v>29740</v>
      </c>
      <c r="D11" s="95">
        <v>5287</v>
      </c>
      <c r="E11" s="95">
        <v>7658</v>
      </c>
      <c r="F11" s="95">
        <v>4344</v>
      </c>
      <c r="G11" s="39"/>
    </row>
    <row r="12" spans="1:7" x14ac:dyDescent="0.2">
      <c r="C12" s="81"/>
      <c r="D12" s="81"/>
      <c r="E12" s="81"/>
      <c r="F12" s="81"/>
      <c r="G12" s="39"/>
    </row>
    <row r="13" spans="1:7" ht="27" customHeight="1" x14ac:dyDescent="0.2">
      <c r="A13" s="73"/>
      <c r="B13" s="73"/>
      <c r="C13" s="10" t="s">
        <v>2</v>
      </c>
      <c r="D13" s="10" t="s">
        <v>188</v>
      </c>
      <c r="E13" s="10" t="s">
        <v>22</v>
      </c>
      <c r="F13" s="39"/>
      <c r="G13" s="39"/>
    </row>
    <row r="14" spans="1:7" ht="27" customHeight="1" x14ac:dyDescent="0.2">
      <c r="A14" s="73" t="s">
        <v>71</v>
      </c>
      <c r="B14" s="73" t="s">
        <v>258</v>
      </c>
      <c r="C14" s="10" t="s">
        <v>187</v>
      </c>
      <c r="D14" s="10" t="s">
        <v>189</v>
      </c>
      <c r="E14" s="10" t="s">
        <v>190</v>
      </c>
      <c r="F14" s="39"/>
      <c r="G14" s="39"/>
    </row>
    <row r="15" spans="1:7" x14ac:dyDescent="0.2">
      <c r="A15" s="59" t="s">
        <v>68</v>
      </c>
      <c r="B15" s="22" t="s">
        <v>253</v>
      </c>
      <c r="C15" s="95">
        <v>13702</v>
      </c>
      <c r="D15" s="95">
        <v>1850</v>
      </c>
      <c r="E15" s="95">
        <v>884</v>
      </c>
      <c r="F15" s="80"/>
      <c r="G15" s="39"/>
    </row>
    <row r="16" spans="1:7" x14ac:dyDescent="0.2">
      <c r="A16" s="59" t="s">
        <v>1</v>
      </c>
      <c r="B16" s="22" t="s">
        <v>252</v>
      </c>
      <c r="C16" s="95">
        <v>9022</v>
      </c>
      <c r="D16" s="95">
        <v>1081</v>
      </c>
      <c r="E16" s="95">
        <v>314</v>
      </c>
      <c r="F16" s="80"/>
      <c r="G16" s="39"/>
    </row>
    <row r="17" spans="1:7" x14ac:dyDescent="0.2">
      <c r="A17" s="59" t="s">
        <v>80</v>
      </c>
      <c r="B17" s="22" t="s">
        <v>259</v>
      </c>
      <c r="C17" s="95">
        <v>558</v>
      </c>
      <c r="D17" s="95">
        <v>21</v>
      </c>
      <c r="E17" s="95">
        <v>15</v>
      </c>
      <c r="F17" s="80"/>
      <c r="G17" s="39"/>
    </row>
    <row r="18" spans="1:7" x14ac:dyDescent="0.2">
      <c r="A18" s="59" t="s">
        <v>58</v>
      </c>
      <c r="B18" s="22" t="s">
        <v>230</v>
      </c>
      <c r="C18" s="95">
        <v>530</v>
      </c>
      <c r="D18" s="95">
        <v>64</v>
      </c>
      <c r="E18" s="95">
        <v>46</v>
      </c>
      <c r="F18" s="80"/>
      <c r="G18" s="39"/>
    </row>
    <row r="19" spans="1:7" x14ac:dyDescent="0.2">
      <c r="C19" s="81"/>
      <c r="D19" s="81"/>
      <c r="E19" s="81"/>
      <c r="F19" s="81"/>
      <c r="G19" s="39"/>
    </row>
    <row r="20" spans="1:7" ht="27" customHeight="1" x14ac:dyDescent="0.2">
      <c r="A20" s="73"/>
      <c r="B20" s="73"/>
      <c r="C20" s="10" t="s">
        <v>2</v>
      </c>
      <c r="D20" s="10" t="s">
        <v>188</v>
      </c>
      <c r="E20" s="10" t="s">
        <v>22</v>
      </c>
      <c r="F20" s="81"/>
      <c r="G20" s="39"/>
    </row>
    <row r="21" spans="1:7" ht="27" customHeight="1" x14ac:dyDescent="0.2">
      <c r="A21" s="73" t="s">
        <v>17</v>
      </c>
      <c r="B21" s="73" t="s">
        <v>260</v>
      </c>
      <c r="C21" s="10" t="s">
        <v>187</v>
      </c>
      <c r="D21" s="10" t="s">
        <v>189</v>
      </c>
      <c r="E21" s="10" t="s">
        <v>190</v>
      </c>
      <c r="F21" s="81"/>
      <c r="G21" s="39"/>
    </row>
    <row r="22" spans="1:7" x14ac:dyDescent="0.2">
      <c r="A22" s="59" t="s">
        <v>68</v>
      </c>
      <c r="B22" s="22" t="s">
        <v>252</v>
      </c>
      <c r="C22" s="95">
        <v>243</v>
      </c>
      <c r="D22" s="95">
        <v>38</v>
      </c>
      <c r="E22" s="95">
        <v>28</v>
      </c>
      <c r="F22" s="81"/>
      <c r="G22" s="39"/>
    </row>
    <row r="23" spans="1:7" x14ac:dyDescent="0.2">
      <c r="A23" s="59" t="s">
        <v>1</v>
      </c>
      <c r="B23" s="22" t="s">
        <v>253</v>
      </c>
      <c r="C23" s="95">
        <v>59</v>
      </c>
      <c r="D23" s="95">
        <v>14</v>
      </c>
      <c r="E23" s="95">
        <v>2</v>
      </c>
      <c r="F23" s="81"/>
      <c r="G23" s="39"/>
    </row>
    <row r="24" spans="1:7" x14ac:dyDescent="0.2">
      <c r="A24" s="59" t="s">
        <v>69</v>
      </c>
      <c r="B24" s="22" t="s">
        <v>254</v>
      </c>
      <c r="C24" s="95">
        <v>1</v>
      </c>
      <c r="D24" s="95">
        <v>0</v>
      </c>
      <c r="E24" s="95">
        <v>0</v>
      </c>
      <c r="F24" s="81"/>
      <c r="G24" s="39"/>
    </row>
    <row r="25" spans="1:7" x14ac:dyDescent="0.2">
      <c r="A25" s="59" t="s">
        <v>70</v>
      </c>
      <c r="B25" s="22" t="s">
        <v>255</v>
      </c>
      <c r="C25" s="95">
        <v>27</v>
      </c>
      <c r="D25" s="95">
        <v>0</v>
      </c>
      <c r="E25" s="95">
        <v>0</v>
      </c>
      <c r="F25" s="81"/>
      <c r="G25" s="39"/>
    </row>
    <row r="26" spans="1:7" x14ac:dyDescent="0.2">
      <c r="A26" s="59" t="s">
        <v>58</v>
      </c>
      <c r="B26" s="22" t="s">
        <v>230</v>
      </c>
      <c r="C26" s="95">
        <v>21</v>
      </c>
      <c r="D26" s="95">
        <v>1</v>
      </c>
      <c r="E26" s="95">
        <v>0</v>
      </c>
      <c r="F26" s="81"/>
      <c r="G26" s="39"/>
    </row>
    <row r="27" spans="1:7" x14ac:dyDescent="0.2">
      <c r="A27" s="75" t="s">
        <v>34</v>
      </c>
      <c r="B27" s="75"/>
      <c r="C27" s="81"/>
      <c r="D27" s="81"/>
      <c r="E27" s="81"/>
      <c r="F27" s="81"/>
      <c r="G27" s="39"/>
    </row>
    <row r="28" spans="1:7" x14ac:dyDescent="0.2">
      <c r="A28" s="75" t="s">
        <v>82</v>
      </c>
      <c r="B28" s="75"/>
      <c r="C28" s="39"/>
      <c r="D28" s="39"/>
      <c r="E28" s="39"/>
      <c r="F28" s="39"/>
      <c r="G28" s="39"/>
    </row>
    <row r="29" spans="1:7" x14ac:dyDescent="0.2">
      <c r="C29" s="39"/>
      <c r="D29" s="39"/>
      <c r="E29" s="39"/>
      <c r="F29" s="39"/>
      <c r="G29" s="39"/>
    </row>
  </sheetData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G28"/>
  <sheetViews>
    <sheetView workbookViewId="0">
      <selection activeCell="A3" sqref="A3"/>
    </sheetView>
  </sheetViews>
  <sheetFormatPr baseColWidth="10" defaultRowHeight="12.75" x14ac:dyDescent="0.2"/>
  <cols>
    <col min="1" max="2" width="30.7109375" style="1" customWidth="1"/>
    <col min="3" max="5" width="11.42578125" style="1" customWidth="1"/>
    <col min="6" max="16384" width="11.42578125" style="1"/>
  </cols>
  <sheetData>
    <row r="1" spans="1:7" x14ac:dyDescent="0.2">
      <c r="A1" s="6" t="s">
        <v>264</v>
      </c>
      <c r="B1" s="6"/>
    </row>
    <row r="2" spans="1:7" x14ac:dyDescent="0.2">
      <c r="A2" s="25" t="s">
        <v>152</v>
      </c>
      <c r="B2" s="25"/>
    </row>
    <row r="4" spans="1:7" s="59" customFormat="1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7" s="59" customFormat="1" ht="27" customHeight="1" x14ac:dyDescent="0.2">
      <c r="A5" s="73" t="s">
        <v>72</v>
      </c>
      <c r="B5" s="73" t="s">
        <v>257</v>
      </c>
      <c r="C5" s="10" t="s">
        <v>187</v>
      </c>
      <c r="D5" s="10" t="s">
        <v>189</v>
      </c>
      <c r="E5" s="10" t="s">
        <v>190</v>
      </c>
      <c r="F5" s="10" t="s">
        <v>4</v>
      </c>
    </row>
    <row r="6" spans="1:7" x14ac:dyDescent="0.2">
      <c r="A6" s="1" t="s">
        <v>1</v>
      </c>
      <c r="B6" s="22" t="s">
        <v>252</v>
      </c>
      <c r="C6" s="94">
        <v>2471</v>
      </c>
      <c r="D6" s="94">
        <v>370</v>
      </c>
      <c r="E6" s="94">
        <v>249</v>
      </c>
      <c r="F6" s="94">
        <v>79</v>
      </c>
    </row>
    <row r="7" spans="1:7" x14ac:dyDescent="0.2">
      <c r="A7" s="1" t="s">
        <v>68</v>
      </c>
      <c r="B7" s="22" t="s">
        <v>253</v>
      </c>
      <c r="C7" s="94">
        <v>20521</v>
      </c>
      <c r="D7" s="94">
        <v>3176</v>
      </c>
      <c r="E7" s="94">
        <v>1370</v>
      </c>
      <c r="F7" s="94">
        <v>200</v>
      </c>
    </row>
    <row r="8" spans="1:7" x14ac:dyDescent="0.2">
      <c r="A8" s="1" t="s">
        <v>69</v>
      </c>
      <c r="B8" s="22" t="s">
        <v>254</v>
      </c>
      <c r="C8" s="94">
        <v>3722</v>
      </c>
      <c r="D8" s="94">
        <v>630</v>
      </c>
      <c r="E8" s="94">
        <v>396</v>
      </c>
      <c r="F8" s="94">
        <v>189</v>
      </c>
    </row>
    <row r="9" spans="1:7" x14ac:dyDescent="0.2">
      <c r="A9" s="1" t="s">
        <v>70</v>
      </c>
      <c r="B9" s="22" t="s">
        <v>255</v>
      </c>
      <c r="C9" s="94">
        <v>59019</v>
      </c>
      <c r="D9" s="94">
        <v>6399</v>
      </c>
      <c r="E9" s="94">
        <v>3840</v>
      </c>
      <c r="F9" s="94">
        <v>1308</v>
      </c>
    </row>
    <row r="10" spans="1:7" x14ac:dyDescent="0.2">
      <c r="A10" s="1" t="s">
        <v>73</v>
      </c>
      <c r="B10" s="22" t="s">
        <v>256</v>
      </c>
      <c r="C10" s="94">
        <v>33899</v>
      </c>
      <c r="D10" s="94">
        <v>4476</v>
      </c>
      <c r="E10" s="94">
        <v>1898</v>
      </c>
      <c r="F10" s="94">
        <v>740</v>
      </c>
    </row>
    <row r="11" spans="1:7" x14ac:dyDescent="0.2">
      <c r="A11" s="1" t="s">
        <v>58</v>
      </c>
      <c r="B11" s="22" t="s">
        <v>230</v>
      </c>
      <c r="C11" s="94">
        <v>29437</v>
      </c>
      <c r="D11" s="94">
        <v>5413</v>
      </c>
      <c r="E11" s="94">
        <v>8620</v>
      </c>
      <c r="F11" s="94">
        <v>4586</v>
      </c>
    </row>
    <row r="12" spans="1:7" x14ac:dyDescent="0.2">
      <c r="C12" s="45"/>
      <c r="D12" s="45"/>
      <c r="E12" s="45"/>
      <c r="F12" s="45"/>
      <c r="G12" s="45"/>
    </row>
    <row r="13" spans="1:7" s="59" customFormat="1" ht="27" customHeight="1" x14ac:dyDescent="0.2">
      <c r="A13" s="73"/>
      <c r="B13" s="73"/>
      <c r="C13" s="10" t="s">
        <v>2</v>
      </c>
      <c r="D13" s="10" t="s">
        <v>188</v>
      </c>
      <c r="E13" s="10" t="s">
        <v>22</v>
      </c>
      <c r="F13" s="81"/>
    </row>
    <row r="14" spans="1:7" s="59" customFormat="1" ht="27" customHeight="1" x14ac:dyDescent="0.2">
      <c r="A14" s="73" t="s">
        <v>71</v>
      </c>
      <c r="B14" s="73" t="s">
        <v>258</v>
      </c>
      <c r="C14" s="10" t="s">
        <v>187</v>
      </c>
      <c r="D14" s="10" t="s">
        <v>189</v>
      </c>
      <c r="E14" s="10" t="s">
        <v>190</v>
      </c>
      <c r="F14" s="81"/>
    </row>
    <row r="15" spans="1:7" x14ac:dyDescent="0.2">
      <c r="A15" s="1" t="s">
        <v>68</v>
      </c>
      <c r="B15" s="22" t="s">
        <v>253</v>
      </c>
      <c r="C15" s="94">
        <v>20179</v>
      </c>
      <c r="D15" s="94">
        <f>1650+1041</f>
        <v>2691</v>
      </c>
      <c r="E15" s="94">
        <v>1423</v>
      </c>
      <c r="F15" s="44"/>
      <c r="G15" s="45"/>
    </row>
    <row r="16" spans="1:7" x14ac:dyDescent="0.2">
      <c r="A16" s="1" t="s">
        <v>1</v>
      </c>
      <c r="B16" s="22" t="s">
        <v>252</v>
      </c>
      <c r="C16" s="94">
        <v>10657</v>
      </c>
      <c r="D16" s="94">
        <v>1256</v>
      </c>
      <c r="E16" s="94">
        <v>454</v>
      </c>
      <c r="F16" s="44"/>
      <c r="G16" s="45"/>
    </row>
    <row r="17" spans="1:7" x14ac:dyDescent="0.2">
      <c r="A17" s="1" t="s">
        <v>80</v>
      </c>
      <c r="B17" s="22" t="s">
        <v>259</v>
      </c>
      <c r="C17" s="94">
        <v>493</v>
      </c>
      <c r="D17" s="94">
        <v>43</v>
      </c>
      <c r="E17" s="94">
        <v>29</v>
      </c>
      <c r="F17" s="44"/>
      <c r="G17" s="45"/>
    </row>
    <row r="18" spans="1:7" x14ac:dyDescent="0.2">
      <c r="A18" s="1" t="s">
        <v>58</v>
      </c>
      <c r="B18" s="22" t="s">
        <v>230</v>
      </c>
      <c r="C18" s="94">
        <v>704</v>
      </c>
      <c r="D18" s="94">
        <v>70</v>
      </c>
      <c r="E18" s="94">
        <v>56</v>
      </c>
      <c r="F18" s="44"/>
      <c r="G18" s="45"/>
    </row>
    <row r="19" spans="1:7" x14ac:dyDescent="0.2">
      <c r="C19" s="45"/>
      <c r="D19" s="45"/>
      <c r="E19" s="45"/>
      <c r="F19" s="45"/>
      <c r="G19" s="45"/>
    </row>
    <row r="20" spans="1:7" s="59" customFormat="1" ht="27" customHeight="1" x14ac:dyDescent="0.2">
      <c r="A20" s="73"/>
      <c r="B20" s="73"/>
      <c r="C20" s="10" t="s">
        <v>2</v>
      </c>
      <c r="D20" s="10" t="s">
        <v>188</v>
      </c>
      <c r="E20" s="10" t="s">
        <v>22</v>
      </c>
      <c r="F20" s="81"/>
      <c r="G20" s="81"/>
    </row>
    <row r="21" spans="1:7" s="59" customFormat="1" ht="27" customHeight="1" x14ac:dyDescent="0.2">
      <c r="A21" s="73" t="s">
        <v>17</v>
      </c>
      <c r="B21" s="73" t="s">
        <v>260</v>
      </c>
      <c r="C21" s="10" t="s">
        <v>187</v>
      </c>
      <c r="D21" s="10" t="s">
        <v>189</v>
      </c>
      <c r="E21" s="10" t="s">
        <v>190</v>
      </c>
      <c r="F21" s="81"/>
      <c r="G21" s="81"/>
    </row>
    <row r="22" spans="1:7" x14ac:dyDescent="0.2">
      <c r="A22" s="1" t="s">
        <v>68</v>
      </c>
      <c r="B22" s="22" t="s">
        <v>252</v>
      </c>
      <c r="C22" s="94">
        <v>373</v>
      </c>
      <c r="D22" s="94">
        <v>80</v>
      </c>
      <c r="E22" s="94">
        <v>38</v>
      </c>
      <c r="F22" s="45"/>
      <c r="G22" s="45"/>
    </row>
    <row r="23" spans="1:7" x14ac:dyDescent="0.2">
      <c r="A23" s="1" t="s">
        <v>1</v>
      </c>
      <c r="B23" s="22" t="s">
        <v>253</v>
      </c>
      <c r="C23" s="94">
        <v>117</v>
      </c>
      <c r="D23" s="94">
        <v>28</v>
      </c>
      <c r="E23" s="94">
        <v>9</v>
      </c>
      <c r="F23" s="45"/>
      <c r="G23" s="45"/>
    </row>
    <row r="24" spans="1:7" x14ac:dyDescent="0.2">
      <c r="A24" s="1" t="s">
        <v>69</v>
      </c>
      <c r="B24" s="22" t="s">
        <v>254</v>
      </c>
      <c r="C24" s="94">
        <v>8</v>
      </c>
      <c r="D24" s="94">
        <v>0</v>
      </c>
      <c r="E24" s="94">
        <v>0</v>
      </c>
      <c r="F24" s="45"/>
      <c r="G24" s="45"/>
    </row>
    <row r="25" spans="1:7" x14ac:dyDescent="0.2">
      <c r="A25" s="1" t="s">
        <v>70</v>
      </c>
      <c r="B25" s="22" t="s">
        <v>255</v>
      </c>
      <c r="C25" s="94">
        <v>30</v>
      </c>
      <c r="D25" s="94">
        <v>8</v>
      </c>
      <c r="E25" s="94">
        <v>8</v>
      </c>
      <c r="F25" s="45"/>
      <c r="G25" s="45"/>
    </row>
    <row r="26" spans="1:7" x14ac:dyDescent="0.2">
      <c r="A26" s="1" t="s">
        <v>58</v>
      </c>
      <c r="B26" s="22" t="s">
        <v>230</v>
      </c>
      <c r="C26" s="94">
        <v>35</v>
      </c>
      <c r="D26" s="94">
        <v>15</v>
      </c>
      <c r="E26" s="94">
        <v>0</v>
      </c>
      <c r="F26" s="45"/>
      <c r="G26" s="45"/>
    </row>
    <row r="27" spans="1:7" x14ac:dyDescent="0.2">
      <c r="A27" s="2" t="s">
        <v>34</v>
      </c>
      <c r="B27" s="2"/>
      <c r="C27" s="46"/>
      <c r="D27" s="46"/>
      <c r="E27" s="46"/>
      <c r="F27" s="45"/>
      <c r="G27" s="45"/>
    </row>
    <row r="28" spans="1:7" x14ac:dyDescent="0.2">
      <c r="A28" s="2" t="s">
        <v>82</v>
      </c>
      <c r="B28" s="2"/>
    </row>
  </sheetData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F28"/>
  <sheetViews>
    <sheetView workbookViewId="0">
      <selection activeCell="A3" sqref="A3"/>
    </sheetView>
  </sheetViews>
  <sheetFormatPr baseColWidth="10" defaultRowHeight="12.75" x14ac:dyDescent="0.2"/>
  <cols>
    <col min="1" max="2" width="30.7109375" style="1" customWidth="1"/>
    <col min="3" max="5" width="11.42578125" style="1" customWidth="1"/>
    <col min="6" max="16384" width="11.42578125" style="1"/>
  </cols>
  <sheetData>
    <row r="1" spans="1:6" x14ac:dyDescent="0.2">
      <c r="A1" s="6" t="s">
        <v>265</v>
      </c>
      <c r="B1" s="6"/>
    </row>
    <row r="2" spans="1:6" x14ac:dyDescent="0.2">
      <c r="A2" s="25" t="s">
        <v>153</v>
      </c>
      <c r="B2" s="25"/>
    </row>
    <row r="4" spans="1:6" s="59" customFormat="1" ht="27" customHeight="1" x14ac:dyDescent="0.2">
      <c r="A4" s="73"/>
      <c r="B4" s="73"/>
      <c r="C4" s="10" t="s">
        <v>2</v>
      </c>
      <c r="D4" s="10" t="s">
        <v>188</v>
      </c>
      <c r="E4" s="10" t="s">
        <v>22</v>
      </c>
      <c r="F4" s="10" t="s">
        <v>4</v>
      </c>
    </row>
    <row r="5" spans="1:6" s="59" customFormat="1" ht="27" customHeight="1" x14ac:dyDescent="0.2">
      <c r="A5" s="73" t="s">
        <v>72</v>
      </c>
      <c r="B5" s="73" t="s">
        <v>257</v>
      </c>
      <c r="C5" s="10" t="s">
        <v>187</v>
      </c>
      <c r="D5" s="10" t="s">
        <v>189</v>
      </c>
      <c r="E5" s="10" t="s">
        <v>190</v>
      </c>
      <c r="F5" s="10" t="s">
        <v>4</v>
      </c>
    </row>
    <row r="6" spans="1:6" x14ac:dyDescent="0.2">
      <c r="A6" s="1" t="s">
        <v>1</v>
      </c>
      <c r="B6" s="22" t="s">
        <v>252</v>
      </c>
      <c r="C6" s="94">
        <v>2284</v>
      </c>
      <c r="D6" s="94">
        <v>373</v>
      </c>
      <c r="E6" s="94">
        <v>250</v>
      </c>
      <c r="F6" s="94">
        <v>100</v>
      </c>
    </row>
    <row r="7" spans="1:6" x14ac:dyDescent="0.2">
      <c r="A7" s="1" t="s">
        <v>68</v>
      </c>
      <c r="B7" s="22" t="s">
        <v>253</v>
      </c>
      <c r="C7" s="94">
        <v>22745</v>
      </c>
      <c r="D7" s="94">
        <v>3530</v>
      </c>
      <c r="E7" s="94">
        <v>1539</v>
      </c>
      <c r="F7" s="94">
        <v>176</v>
      </c>
    </row>
    <row r="8" spans="1:6" x14ac:dyDescent="0.2">
      <c r="A8" s="1" t="s">
        <v>69</v>
      </c>
      <c r="B8" s="22" t="s">
        <v>254</v>
      </c>
      <c r="C8" s="94">
        <v>3672</v>
      </c>
      <c r="D8" s="94">
        <v>620</v>
      </c>
      <c r="E8" s="94">
        <v>373</v>
      </c>
      <c r="F8" s="94">
        <v>187</v>
      </c>
    </row>
    <row r="9" spans="1:6" x14ac:dyDescent="0.2">
      <c r="A9" s="1" t="s">
        <v>70</v>
      </c>
      <c r="B9" s="22" t="s">
        <v>255</v>
      </c>
      <c r="C9" s="94">
        <v>62099</v>
      </c>
      <c r="D9" s="94">
        <v>6654</v>
      </c>
      <c r="E9" s="94">
        <v>3561</v>
      </c>
      <c r="F9" s="94">
        <v>1273</v>
      </c>
    </row>
    <row r="10" spans="1:6" x14ac:dyDescent="0.2">
      <c r="A10" s="1" t="s">
        <v>73</v>
      </c>
      <c r="B10" s="22" t="s">
        <v>256</v>
      </c>
      <c r="C10" s="94">
        <v>33737</v>
      </c>
      <c r="D10" s="94">
        <v>4481</v>
      </c>
      <c r="E10" s="94">
        <v>2083</v>
      </c>
      <c r="F10" s="94">
        <v>815</v>
      </c>
    </row>
    <row r="11" spans="1:6" x14ac:dyDescent="0.2">
      <c r="A11" s="1" t="s">
        <v>58</v>
      </c>
      <c r="B11" s="22" t="s">
        <v>230</v>
      </c>
      <c r="C11" s="94">
        <v>32214</v>
      </c>
      <c r="D11" s="94">
        <v>5703</v>
      </c>
      <c r="E11" s="94">
        <v>8953</v>
      </c>
      <c r="F11" s="94">
        <v>4956</v>
      </c>
    </row>
    <row r="12" spans="1:6" x14ac:dyDescent="0.2">
      <c r="C12" s="45"/>
      <c r="D12" s="45"/>
      <c r="E12" s="45"/>
      <c r="F12" s="45"/>
    </row>
    <row r="13" spans="1:6" s="59" customFormat="1" ht="27" customHeight="1" x14ac:dyDescent="0.2">
      <c r="A13" s="73"/>
      <c r="B13" s="73"/>
      <c r="C13" s="10" t="s">
        <v>2</v>
      </c>
      <c r="D13" s="10" t="s">
        <v>188</v>
      </c>
      <c r="E13" s="10" t="s">
        <v>22</v>
      </c>
    </row>
    <row r="14" spans="1:6" s="59" customFormat="1" ht="27" customHeight="1" x14ac:dyDescent="0.2">
      <c r="A14" s="73" t="s">
        <v>71</v>
      </c>
      <c r="B14" s="73" t="s">
        <v>258</v>
      </c>
      <c r="C14" s="10" t="s">
        <v>187</v>
      </c>
      <c r="D14" s="10" t="s">
        <v>189</v>
      </c>
      <c r="E14" s="10" t="s">
        <v>190</v>
      </c>
    </row>
    <row r="15" spans="1:6" x14ac:dyDescent="0.2">
      <c r="A15" s="1" t="s">
        <v>68</v>
      </c>
      <c r="B15" s="22" t="s">
        <v>253</v>
      </c>
      <c r="C15" s="94">
        <v>21097</v>
      </c>
      <c r="D15" s="94">
        <f>1555+1012</f>
        <v>2567</v>
      </c>
      <c r="E15" s="94">
        <v>1310</v>
      </c>
      <c r="F15" s="44"/>
    </row>
    <row r="16" spans="1:6" x14ac:dyDescent="0.2">
      <c r="A16" s="1" t="s">
        <v>1</v>
      </c>
      <c r="B16" s="22" t="s">
        <v>252</v>
      </c>
      <c r="C16" s="94">
        <v>10497</v>
      </c>
      <c r="D16" s="94">
        <v>1271</v>
      </c>
      <c r="E16" s="94">
        <v>415</v>
      </c>
      <c r="F16" s="44"/>
    </row>
    <row r="17" spans="1:6" x14ac:dyDescent="0.2">
      <c r="A17" s="1" t="s">
        <v>81</v>
      </c>
      <c r="B17" s="22" t="s">
        <v>259</v>
      </c>
      <c r="C17" s="94">
        <v>573</v>
      </c>
      <c r="D17" s="94">
        <v>60</v>
      </c>
      <c r="E17" s="94">
        <v>40</v>
      </c>
      <c r="F17" s="44"/>
    </row>
    <row r="18" spans="1:6" x14ac:dyDescent="0.2">
      <c r="A18" s="1" t="s">
        <v>58</v>
      </c>
      <c r="B18" s="22" t="s">
        <v>230</v>
      </c>
      <c r="C18" s="94">
        <v>700</v>
      </c>
      <c r="D18" s="94">
        <v>72</v>
      </c>
      <c r="E18" s="94">
        <v>57</v>
      </c>
      <c r="F18" s="44"/>
    </row>
    <row r="19" spans="1:6" x14ac:dyDescent="0.2">
      <c r="C19" s="46"/>
      <c r="D19" s="46"/>
      <c r="E19" s="46"/>
      <c r="F19" s="45"/>
    </row>
    <row r="20" spans="1:6" s="59" customFormat="1" ht="27" customHeight="1" x14ac:dyDescent="0.2">
      <c r="A20" s="73"/>
      <c r="B20" s="73"/>
      <c r="C20" s="10" t="s">
        <v>2</v>
      </c>
      <c r="D20" s="10" t="s">
        <v>188</v>
      </c>
      <c r="E20" s="10" t="s">
        <v>22</v>
      </c>
      <c r="F20" s="81"/>
    </row>
    <row r="21" spans="1:6" s="59" customFormat="1" ht="27" customHeight="1" x14ac:dyDescent="0.2">
      <c r="A21" s="73" t="s">
        <v>17</v>
      </c>
      <c r="B21" s="73" t="s">
        <v>260</v>
      </c>
      <c r="C21" s="10" t="s">
        <v>187</v>
      </c>
      <c r="D21" s="10" t="s">
        <v>189</v>
      </c>
      <c r="E21" s="10" t="s">
        <v>190</v>
      </c>
      <c r="F21" s="81"/>
    </row>
    <row r="22" spans="1:6" x14ac:dyDescent="0.2">
      <c r="A22" s="1" t="s">
        <v>68</v>
      </c>
      <c r="B22" s="22" t="s">
        <v>252</v>
      </c>
      <c r="C22" s="94">
        <v>376</v>
      </c>
      <c r="D22" s="94">
        <v>56</v>
      </c>
      <c r="E22" s="94">
        <v>26</v>
      </c>
      <c r="F22" s="45"/>
    </row>
    <row r="23" spans="1:6" x14ac:dyDescent="0.2">
      <c r="A23" s="1" t="s">
        <v>1</v>
      </c>
      <c r="B23" s="22" t="s">
        <v>253</v>
      </c>
      <c r="C23" s="94">
        <v>104</v>
      </c>
      <c r="D23" s="94">
        <v>15</v>
      </c>
      <c r="E23" s="94">
        <v>11</v>
      </c>
      <c r="F23" s="45"/>
    </row>
    <row r="24" spans="1:6" x14ac:dyDescent="0.2">
      <c r="A24" s="1" t="s">
        <v>69</v>
      </c>
      <c r="B24" s="22" t="s">
        <v>254</v>
      </c>
      <c r="C24" s="94">
        <v>3</v>
      </c>
      <c r="D24" s="94">
        <v>0</v>
      </c>
      <c r="E24" s="94">
        <v>0</v>
      </c>
      <c r="F24" s="45"/>
    </row>
    <row r="25" spans="1:6" x14ac:dyDescent="0.2">
      <c r="A25" s="1" t="s">
        <v>70</v>
      </c>
      <c r="B25" s="22" t="s">
        <v>255</v>
      </c>
      <c r="C25" s="94">
        <v>12</v>
      </c>
      <c r="D25" s="94">
        <v>1</v>
      </c>
      <c r="E25" s="94">
        <v>0</v>
      </c>
      <c r="F25" s="45"/>
    </row>
    <row r="26" spans="1:6" x14ac:dyDescent="0.2">
      <c r="A26" s="1" t="s">
        <v>58</v>
      </c>
      <c r="B26" s="22" t="s">
        <v>230</v>
      </c>
      <c r="C26" s="94">
        <v>25</v>
      </c>
      <c r="D26" s="94">
        <v>5</v>
      </c>
      <c r="E26" s="94">
        <v>0</v>
      </c>
      <c r="F26" s="45"/>
    </row>
    <row r="27" spans="1:6" x14ac:dyDescent="0.2">
      <c r="A27" s="2" t="s">
        <v>34</v>
      </c>
      <c r="B27" s="2"/>
    </row>
    <row r="28" spans="1:6" x14ac:dyDescent="0.2">
      <c r="A28" s="2" t="s">
        <v>82</v>
      </c>
      <c r="B28" s="2"/>
    </row>
  </sheetData>
  <pageMargins left="0.78740157480314965" right="0.78740157480314965" top="0.98425196850393704" bottom="0.98425196850393704" header="0" footer="0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3" sqref="A3"/>
    </sheetView>
  </sheetViews>
  <sheetFormatPr baseColWidth="10" defaultRowHeight="12.75" x14ac:dyDescent="0.2"/>
  <cols>
    <col min="1" max="2" width="23.7109375" customWidth="1"/>
  </cols>
  <sheetData>
    <row r="1" spans="1:9" x14ac:dyDescent="0.2">
      <c r="A1" s="5" t="s">
        <v>92</v>
      </c>
      <c r="B1" s="5"/>
      <c r="C1" s="1"/>
      <c r="D1" s="1"/>
      <c r="E1" s="1"/>
      <c r="F1" s="1"/>
      <c r="G1" s="1"/>
      <c r="H1" s="1"/>
      <c r="I1" s="1"/>
    </row>
    <row r="2" spans="1:9" x14ac:dyDescent="0.2">
      <c r="A2" s="24" t="s">
        <v>93</v>
      </c>
      <c r="B2" s="24"/>
      <c r="C2" s="1"/>
      <c r="D2" s="1"/>
      <c r="E2" s="1"/>
      <c r="F2" s="1"/>
      <c r="G2" s="1"/>
      <c r="H2" s="1"/>
      <c r="I2" s="1"/>
    </row>
    <row r="3" spans="1:9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  <c r="H4" s="1"/>
    </row>
    <row r="5" spans="1:9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  <c r="H5" s="1"/>
    </row>
    <row r="6" spans="1:9" x14ac:dyDescent="0.2">
      <c r="A6" s="17" t="s">
        <v>38</v>
      </c>
      <c r="B6" s="17" t="s">
        <v>267</v>
      </c>
      <c r="C6" s="96">
        <v>14972</v>
      </c>
      <c r="D6" s="96">
        <v>1838</v>
      </c>
      <c r="E6" s="96">
        <v>991</v>
      </c>
      <c r="F6" s="96">
        <v>433</v>
      </c>
      <c r="G6" s="97">
        <f>F6/E6</f>
        <v>0.43693239152371344</v>
      </c>
      <c r="H6" s="1"/>
    </row>
    <row r="7" spans="1:9" x14ac:dyDescent="0.2">
      <c r="A7" s="11" t="s">
        <v>5</v>
      </c>
      <c r="B7" s="11" t="s">
        <v>268</v>
      </c>
      <c r="C7" s="96">
        <v>15932</v>
      </c>
      <c r="D7" s="96">
        <v>1929</v>
      </c>
      <c r="E7" s="96">
        <v>1048</v>
      </c>
      <c r="F7" s="96">
        <v>459</v>
      </c>
      <c r="G7" s="97">
        <f>F7/E7</f>
        <v>0.43797709923664124</v>
      </c>
      <c r="H7" s="18"/>
    </row>
    <row r="8" spans="1:9" x14ac:dyDescent="0.2">
      <c r="A8" s="13" t="s">
        <v>7</v>
      </c>
      <c r="B8" s="13" t="s">
        <v>211</v>
      </c>
      <c r="C8" s="98">
        <v>6948</v>
      </c>
      <c r="D8" s="98">
        <v>760</v>
      </c>
      <c r="E8" s="98">
        <v>386</v>
      </c>
      <c r="F8" s="98">
        <v>199</v>
      </c>
      <c r="G8" s="99">
        <f>F8/E8</f>
        <v>0.51554404145077726</v>
      </c>
      <c r="H8" s="1"/>
    </row>
    <row r="9" spans="1:9" x14ac:dyDescent="0.2">
      <c r="A9" s="30" t="s">
        <v>11</v>
      </c>
      <c r="B9" s="30" t="s">
        <v>11</v>
      </c>
      <c r="C9" s="99">
        <f>C8/C7</f>
        <v>0.43610343961837811</v>
      </c>
      <c r="D9" s="99">
        <f>D8/D7</f>
        <v>0.3939865215137377</v>
      </c>
      <c r="E9" s="99">
        <f>E8/E7</f>
        <v>0.36832061068702288</v>
      </c>
      <c r="F9" s="99">
        <f>F8/F7</f>
        <v>0.43355119825708061</v>
      </c>
      <c r="G9" s="99" t="s">
        <v>19</v>
      </c>
      <c r="H9" s="1"/>
    </row>
    <row r="10" spans="1:9" x14ac:dyDescent="0.2">
      <c r="A10" s="29" t="s">
        <v>8</v>
      </c>
      <c r="B10" s="29" t="s">
        <v>269</v>
      </c>
      <c r="C10" s="98">
        <v>5830</v>
      </c>
      <c r="D10" s="98">
        <v>655</v>
      </c>
      <c r="E10" s="98">
        <v>344</v>
      </c>
      <c r="F10" s="98">
        <v>170</v>
      </c>
      <c r="G10" s="99">
        <f>F10/E10</f>
        <v>0.4941860465116279</v>
      </c>
      <c r="H10" s="1"/>
    </row>
    <row r="11" spans="1:9" x14ac:dyDescent="0.2">
      <c r="A11" s="29" t="s">
        <v>9</v>
      </c>
      <c r="B11" s="29" t="s">
        <v>270</v>
      </c>
      <c r="C11" s="98">
        <v>1118</v>
      </c>
      <c r="D11" s="98">
        <v>105</v>
      </c>
      <c r="E11" s="98">
        <v>42</v>
      </c>
      <c r="F11" s="98">
        <v>29</v>
      </c>
      <c r="G11" s="99">
        <f>F11/E11</f>
        <v>0.69047619047619047</v>
      </c>
      <c r="H11" s="1"/>
    </row>
    <row r="12" spans="1:9" x14ac:dyDescent="0.2">
      <c r="A12" s="13" t="s">
        <v>10</v>
      </c>
      <c r="B12" s="13" t="s">
        <v>212</v>
      </c>
      <c r="C12" s="98">
        <v>8984</v>
      </c>
      <c r="D12" s="98">
        <v>1169</v>
      </c>
      <c r="E12" s="98">
        <v>662</v>
      </c>
      <c r="F12" s="98">
        <v>260</v>
      </c>
      <c r="G12" s="99">
        <f>F12/E12</f>
        <v>0.39274924471299094</v>
      </c>
      <c r="H12" s="1"/>
    </row>
    <row r="13" spans="1:9" x14ac:dyDescent="0.2">
      <c r="A13" s="30" t="s">
        <v>11</v>
      </c>
      <c r="B13" s="30" t="s">
        <v>11</v>
      </c>
      <c r="C13" s="99">
        <f>C12/C7</f>
        <v>0.56389656038162195</v>
      </c>
      <c r="D13" s="99">
        <f>D12/D7</f>
        <v>0.6060134784862623</v>
      </c>
      <c r="E13" s="99">
        <f>E12/E7</f>
        <v>0.63167938931297707</v>
      </c>
      <c r="F13" s="99">
        <f>F12/F7</f>
        <v>0.56644880174291934</v>
      </c>
      <c r="G13" s="99" t="s">
        <v>19</v>
      </c>
      <c r="H13" s="1"/>
    </row>
    <row r="14" spans="1:9" x14ac:dyDescent="0.2">
      <c r="A14" s="29" t="s">
        <v>12</v>
      </c>
      <c r="B14" s="29" t="s">
        <v>271</v>
      </c>
      <c r="C14" s="98">
        <v>7670</v>
      </c>
      <c r="D14" s="98">
        <v>1019</v>
      </c>
      <c r="E14" s="98">
        <v>570</v>
      </c>
      <c r="F14" s="98">
        <v>205</v>
      </c>
      <c r="G14" s="99">
        <f>F14/E14</f>
        <v>0.35964912280701755</v>
      </c>
      <c r="H14" s="1"/>
    </row>
    <row r="15" spans="1:9" x14ac:dyDescent="0.2">
      <c r="A15" s="29" t="s">
        <v>13</v>
      </c>
      <c r="B15" s="29" t="s">
        <v>272</v>
      </c>
      <c r="C15" s="98">
        <v>1314</v>
      </c>
      <c r="D15" s="98">
        <v>150</v>
      </c>
      <c r="E15" s="98">
        <v>92</v>
      </c>
      <c r="F15" s="98">
        <v>55</v>
      </c>
      <c r="G15" s="99">
        <f>F15/E15</f>
        <v>0.59782608695652173</v>
      </c>
      <c r="H15" s="1"/>
    </row>
    <row r="16" spans="1:9" x14ac:dyDescent="0.2">
      <c r="A16" s="11" t="s">
        <v>18</v>
      </c>
      <c r="B16" s="11" t="s">
        <v>273</v>
      </c>
      <c r="C16" s="96">
        <v>15073</v>
      </c>
      <c r="D16" s="96">
        <v>1862</v>
      </c>
      <c r="E16" s="96">
        <v>1006</v>
      </c>
      <c r="F16" s="96">
        <v>438</v>
      </c>
      <c r="G16" s="97">
        <f>F16/E16</f>
        <v>0.43538767395626243</v>
      </c>
      <c r="H16" s="1"/>
    </row>
    <row r="17" spans="1:9" x14ac:dyDescent="0.2">
      <c r="A17" s="13" t="s">
        <v>7</v>
      </c>
      <c r="B17" s="13" t="s">
        <v>211</v>
      </c>
      <c r="C17" s="98">
        <v>9914</v>
      </c>
      <c r="D17" s="98">
        <v>1326</v>
      </c>
      <c r="E17" s="98">
        <v>717</v>
      </c>
      <c r="F17" s="98">
        <v>300</v>
      </c>
      <c r="G17" s="99">
        <f>F17/E17</f>
        <v>0.41841004184100417</v>
      </c>
      <c r="H17" s="1"/>
    </row>
    <row r="18" spans="1:9" x14ac:dyDescent="0.2">
      <c r="A18" s="30" t="s">
        <v>11</v>
      </c>
      <c r="B18" s="30" t="s">
        <v>11</v>
      </c>
      <c r="C18" s="99">
        <f>C17/C16</f>
        <v>0.65773236913686728</v>
      </c>
      <c r="D18" s="99">
        <f>D17/D16</f>
        <v>0.71213748657357678</v>
      </c>
      <c r="E18" s="99">
        <f>E17/E16</f>
        <v>0.71272365805168991</v>
      </c>
      <c r="F18" s="99">
        <f>F17/F16</f>
        <v>0.68493150684931503</v>
      </c>
      <c r="G18" s="99" t="s">
        <v>19</v>
      </c>
      <c r="H18" s="1"/>
    </row>
    <row r="19" spans="1:9" x14ac:dyDescent="0.2">
      <c r="A19" s="29" t="s">
        <v>8</v>
      </c>
      <c r="B19" s="29" t="s">
        <v>269</v>
      </c>
      <c r="C19" s="98">
        <v>8412</v>
      </c>
      <c r="D19" s="98">
        <v>1149</v>
      </c>
      <c r="E19" s="98">
        <v>623</v>
      </c>
      <c r="F19" s="98">
        <v>248</v>
      </c>
      <c r="G19" s="99">
        <f>F19/E19</f>
        <v>0.39807383627608345</v>
      </c>
      <c r="H19" s="1"/>
    </row>
    <row r="20" spans="1:9" x14ac:dyDescent="0.2">
      <c r="A20" s="29" t="s">
        <v>9</v>
      </c>
      <c r="B20" s="29" t="s">
        <v>270</v>
      </c>
      <c r="C20" s="98">
        <v>1502</v>
      </c>
      <c r="D20" s="98">
        <v>177</v>
      </c>
      <c r="E20" s="98">
        <v>94</v>
      </c>
      <c r="F20" s="98">
        <v>52</v>
      </c>
      <c r="G20" s="99">
        <f>F20/E20</f>
        <v>0.55319148936170215</v>
      </c>
      <c r="H20" s="1"/>
    </row>
    <row r="21" spans="1:9" ht="12.75" customHeight="1" x14ac:dyDescent="0.2">
      <c r="A21" s="13" t="s">
        <v>10</v>
      </c>
      <c r="B21" s="13" t="s">
        <v>212</v>
      </c>
      <c r="C21" s="98">
        <v>5159</v>
      </c>
      <c r="D21" s="98">
        <v>536</v>
      </c>
      <c r="E21" s="98">
        <v>289</v>
      </c>
      <c r="F21" s="98">
        <v>138</v>
      </c>
      <c r="G21" s="99">
        <f>F21/E21</f>
        <v>0.47750865051903113</v>
      </c>
      <c r="H21" s="1"/>
    </row>
    <row r="22" spans="1:9" x14ac:dyDescent="0.2">
      <c r="A22" s="30" t="s">
        <v>11</v>
      </c>
      <c r="B22" s="30" t="s">
        <v>11</v>
      </c>
      <c r="C22" s="99">
        <f>C21/C16</f>
        <v>0.34226763086313278</v>
      </c>
      <c r="D22" s="99">
        <f>D21/D16</f>
        <v>0.28786251342642322</v>
      </c>
      <c r="E22" s="99">
        <f>E21/E16</f>
        <v>0.28727634194831014</v>
      </c>
      <c r="F22" s="99">
        <f>F21/F16</f>
        <v>0.31506849315068491</v>
      </c>
      <c r="G22" s="99" t="s">
        <v>19</v>
      </c>
      <c r="H22" s="1"/>
    </row>
    <row r="23" spans="1:9" x14ac:dyDescent="0.2">
      <c r="A23" s="29" t="s">
        <v>12</v>
      </c>
      <c r="B23" s="29" t="s">
        <v>271</v>
      </c>
      <c r="C23" s="98">
        <v>4090</v>
      </c>
      <c r="D23" s="98">
        <v>441</v>
      </c>
      <c r="E23" s="98">
        <v>248</v>
      </c>
      <c r="F23" s="98">
        <v>109</v>
      </c>
      <c r="G23" s="99">
        <f>F23/E23</f>
        <v>0.43951612903225806</v>
      </c>
      <c r="H23" s="1"/>
    </row>
    <row r="24" spans="1:9" x14ac:dyDescent="0.2">
      <c r="A24" s="29" t="s">
        <v>13</v>
      </c>
      <c r="B24" s="29" t="s">
        <v>272</v>
      </c>
      <c r="C24" s="98">
        <v>1069</v>
      </c>
      <c r="D24" s="98">
        <v>95</v>
      </c>
      <c r="E24" s="98">
        <v>41</v>
      </c>
      <c r="F24" s="98">
        <v>29</v>
      </c>
      <c r="G24" s="99">
        <f>F24/E24</f>
        <v>0.70731707317073167</v>
      </c>
      <c r="H24" s="1"/>
      <c r="I24" s="1"/>
    </row>
    <row r="25" spans="1:9" x14ac:dyDescent="0.2">
      <c r="A25" s="2" t="s">
        <v>34</v>
      </c>
      <c r="B25" s="2"/>
      <c r="C25" s="82"/>
      <c r="D25" s="72"/>
      <c r="E25" s="72"/>
      <c r="F25" s="72"/>
      <c r="G25" s="72"/>
      <c r="H25" s="1"/>
      <c r="I25" s="1"/>
    </row>
    <row r="26" spans="1:9" x14ac:dyDescent="0.2">
      <c r="A26" s="2" t="s">
        <v>82</v>
      </c>
      <c r="B26" s="2"/>
      <c r="C26" s="1"/>
      <c r="D26" s="1"/>
      <c r="E26" s="1"/>
      <c r="F26" s="1"/>
      <c r="G26" s="1"/>
      <c r="H26" s="1"/>
      <c r="I26" s="1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G36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154</v>
      </c>
      <c r="B1" s="5"/>
    </row>
    <row r="2" spans="1:7" x14ac:dyDescent="0.2">
      <c r="A2" s="24" t="s">
        <v>155</v>
      </c>
      <c r="B2" s="24"/>
    </row>
    <row r="4" spans="1:7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17" t="s">
        <v>38</v>
      </c>
      <c r="B6" s="17" t="s">
        <v>267</v>
      </c>
      <c r="C6" s="96">
        <v>15744</v>
      </c>
      <c r="D6" s="96">
        <v>1652</v>
      </c>
      <c r="E6" s="96">
        <v>849</v>
      </c>
      <c r="F6" s="96">
        <v>419</v>
      </c>
      <c r="G6" s="97">
        <f>F6/E6</f>
        <v>0.49352179034157834</v>
      </c>
    </row>
    <row r="7" spans="1:7" x14ac:dyDescent="0.2">
      <c r="A7" s="11" t="s">
        <v>5</v>
      </c>
      <c r="B7" s="11" t="s">
        <v>268</v>
      </c>
      <c r="C7" s="96">
        <f>SUM(C8+C12)</f>
        <v>16712</v>
      </c>
      <c r="D7" s="96">
        <v>1729</v>
      </c>
      <c r="E7" s="96">
        <f>E8+E12</f>
        <v>899</v>
      </c>
      <c r="F7" s="96">
        <v>451</v>
      </c>
      <c r="G7" s="97">
        <f>F7/E7</f>
        <v>0.50166852057842048</v>
      </c>
    </row>
    <row r="8" spans="1:7" ht="12.75" customHeight="1" x14ac:dyDescent="0.2">
      <c r="A8" s="13" t="s">
        <v>7</v>
      </c>
      <c r="B8" s="13" t="s">
        <v>211</v>
      </c>
      <c r="C8" s="98">
        <f>C10+C11</f>
        <v>7275</v>
      </c>
      <c r="D8" s="98">
        <f>D10+D11</f>
        <v>693</v>
      </c>
      <c r="E8" s="98">
        <f>E10+E11</f>
        <v>363</v>
      </c>
      <c r="F8" s="98">
        <v>197</v>
      </c>
      <c r="G8" s="99">
        <f>F8/E8</f>
        <v>0.54269972451790638</v>
      </c>
    </row>
    <row r="9" spans="1:7" x14ac:dyDescent="0.2">
      <c r="A9" s="30" t="s">
        <v>11</v>
      </c>
      <c r="B9" s="30" t="s">
        <v>11</v>
      </c>
      <c r="C9" s="99">
        <f>C8/C7</f>
        <v>0.43531594064145523</v>
      </c>
      <c r="D9" s="99">
        <f>D8/D7</f>
        <v>0.40080971659919029</v>
      </c>
      <c r="E9" s="99">
        <f>E8/E7</f>
        <v>0.40378197997775306</v>
      </c>
      <c r="F9" s="99">
        <f>F8/F7</f>
        <v>0.43680709534368073</v>
      </c>
      <c r="G9" s="99" t="s">
        <v>19</v>
      </c>
    </row>
    <row r="10" spans="1:7" x14ac:dyDescent="0.2">
      <c r="A10" s="29" t="s">
        <v>8</v>
      </c>
      <c r="B10" s="29" t="s">
        <v>269</v>
      </c>
      <c r="C10" s="98">
        <v>6028</v>
      </c>
      <c r="D10" s="98">
        <v>576</v>
      </c>
      <c r="E10" s="98">
        <v>306</v>
      </c>
      <c r="F10" s="98">
        <v>155</v>
      </c>
      <c r="G10" s="99">
        <f>F10/E10</f>
        <v>0.50653594771241828</v>
      </c>
    </row>
    <row r="11" spans="1:7" x14ac:dyDescent="0.2">
      <c r="A11" s="29" t="s">
        <v>9</v>
      </c>
      <c r="B11" s="29" t="s">
        <v>270</v>
      </c>
      <c r="C11" s="100">
        <v>1247</v>
      </c>
      <c r="D11" s="100">
        <v>117</v>
      </c>
      <c r="E11" s="100">
        <v>57</v>
      </c>
      <c r="F11" s="98">
        <v>42</v>
      </c>
      <c r="G11" s="99">
        <f>F11/E11</f>
        <v>0.73684210526315785</v>
      </c>
    </row>
    <row r="12" spans="1:7" x14ac:dyDescent="0.2">
      <c r="A12" s="13" t="s">
        <v>10</v>
      </c>
      <c r="B12" s="13" t="s">
        <v>212</v>
      </c>
      <c r="C12" s="100">
        <f>C14+C15</f>
        <v>9437</v>
      </c>
      <c r="D12" s="100">
        <f>D14+D15</f>
        <v>1036</v>
      </c>
      <c r="E12" s="100">
        <f>E14+E15</f>
        <v>536</v>
      </c>
      <c r="F12" s="98">
        <v>254</v>
      </c>
      <c r="G12" s="99">
        <f>F12/E12</f>
        <v>0.47388059701492535</v>
      </c>
    </row>
    <row r="13" spans="1:7" x14ac:dyDescent="0.2">
      <c r="A13" s="30" t="s">
        <v>11</v>
      </c>
      <c r="B13" s="30" t="s">
        <v>11</v>
      </c>
      <c r="C13" s="101">
        <f>C12/C7</f>
        <v>0.56468405935854471</v>
      </c>
      <c r="D13" s="101">
        <f>D12/D7</f>
        <v>0.59919028340080971</v>
      </c>
      <c r="E13" s="102">
        <f>E12/E7</f>
        <v>0.59621802002224689</v>
      </c>
      <c r="F13" s="99">
        <f>F12/F7</f>
        <v>0.56319290465631933</v>
      </c>
      <c r="G13" s="99" t="s">
        <v>19</v>
      </c>
    </row>
    <row r="14" spans="1:7" x14ac:dyDescent="0.2">
      <c r="A14" s="29" t="s">
        <v>12</v>
      </c>
      <c r="B14" s="29" t="s">
        <v>271</v>
      </c>
      <c r="C14" s="100">
        <v>7877</v>
      </c>
      <c r="D14" s="100">
        <v>867</v>
      </c>
      <c r="E14" s="100">
        <v>456</v>
      </c>
      <c r="F14" s="98">
        <v>205</v>
      </c>
      <c r="G14" s="99">
        <f>F14/E14</f>
        <v>0.44956140350877194</v>
      </c>
    </row>
    <row r="15" spans="1:7" x14ac:dyDescent="0.2">
      <c r="A15" s="29" t="s">
        <v>13</v>
      </c>
      <c r="B15" s="29" t="s">
        <v>272</v>
      </c>
      <c r="C15" s="100">
        <v>1560</v>
      </c>
      <c r="D15" s="100">
        <v>169</v>
      </c>
      <c r="E15" s="100">
        <v>80</v>
      </c>
      <c r="F15" s="98">
        <v>49</v>
      </c>
      <c r="G15" s="99">
        <f>F15/E15</f>
        <v>0.61250000000000004</v>
      </c>
    </row>
    <row r="16" spans="1:7" x14ac:dyDescent="0.2">
      <c r="A16" s="11" t="s">
        <v>18</v>
      </c>
      <c r="B16" s="11" t="s">
        <v>273</v>
      </c>
      <c r="C16" s="96">
        <f>C17+C21</f>
        <v>15905</v>
      </c>
      <c r="D16" s="96">
        <f>D17+D21</f>
        <v>1661</v>
      </c>
      <c r="E16" s="96">
        <f>E17+E21</f>
        <v>852</v>
      </c>
      <c r="F16" s="96">
        <v>420</v>
      </c>
      <c r="G16" s="97">
        <f>F16/E16</f>
        <v>0.49295774647887325</v>
      </c>
    </row>
    <row r="17" spans="1:7" x14ac:dyDescent="0.2">
      <c r="A17" s="13" t="s">
        <v>7</v>
      </c>
      <c r="B17" s="13" t="s">
        <v>211</v>
      </c>
      <c r="C17" s="98">
        <f>C19+C20</f>
        <v>10139</v>
      </c>
      <c r="D17" s="98">
        <f>D19+D20</f>
        <v>1137</v>
      </c>
      <c r="E17" s="98">
        <f>E19+E20</f>
        <v>573</v>
      </c>
      <c r="F17" s="98">
        <v>275</v>
      </c>
      <c r="G17" s="99">
        <f>F17/E17</f>
        <v>0.47993019197207681</v>
      </c>
    </row>
    <row r="18" spans="1:7" x14ac:dyDescent="0.2">
      <c r="A18" s="30" t="s">
        <v>11</v>
      </c>
      <c r="B18" s="30" t="s">
        <v>11</v>
      </c>
      <c r="C18" s="99">
        <f>C17/C16</f>
        <v>0.63747249292675257</v>
      </c>
      <c r="D18" s="99">
        <f>D17/D16</f>
        <v>0.68452739313666466</v>
      </c>
      <c r="E18" s="99">
        <f>E17/E16</f>
        <v>0.67253521126760563</v>
      </c>
      <c r="F18" s="99">
        <f>F17/F16</f>
        <v>0.65476190476190477</v>
      </c>
      <c r="G18" s="99" t="s">
        <v>19</v>
      </c>
    </row>
    <row r="19" spans="1:7" x14ac:dyDescent="0.2">
      <c r="A19" s="29" t="s">
        <v>8</v>
      </c>
      <c r="B19" s="29" t="s">
        <v>269</v>
      </c>
      <c r="C19" s="98">
        <v>8382</v>
      </c>
      <c r="D19" s="98">
        <v>930</v>
      </c>
      <c r="E19" s="98">
        <v>467</v>
      </c>
      <c r="F19" s="98">
        <v>215</v>
      </c>
      <c r="G19" s="99">
        <f>F19/E19</f>
        <v>0.46038543897216272</v>
      </c>
    </row>
    <row r="20" spans="1:7" x14ac:dyDescent="0.2">
      <c r="A20" s="29" t="s">
        <v>9</v>
      </c>
      <c r="B20" s="29" t="s">
        <v>270</v>
      </c>
      <c r="C20" s="98">
        <v>1757</v>
      </c>
      <c r="D20" s="98">
        <v>207</v>
      </c>
      <c r="E20" s="98">
        <v>106</v>
      </c>
      <c r="F20" s="98">
        <v>60</v>
      </c>
      <c r="G20" s="99">
        <f>F20/E20</f>
        <v>0.56603773584905659</v>
      </c>
    </row>
    <row r="21" spans="1:7" x14ac:dyDescent="0.2">
      <c r="A21" s="13" t="s">
        <v>10</v>
      </c>
      <c r="B21" s="13" t="s">
        <v>212</v>
      </c>
      <c r="C21" s="98">
        <f>C23+C24</f>
        <v>5766</v>
      </c>
      <c r="D21" s="98">
        <f>D23+D24</f>
        <v>524</v>
      </c>
      <c r="E21" s="98">
        <f>E23+E24</f>
        <v>279</v>
      </c>
      <c r="F21" s="98">
        <v>145</v>
      </c>
      <c r="G21" s="99">
        <f>F21/E21</f>
        <v>0.51971326164874554</v>
      </c>
    </row>
    <row r="22" spans="1:7" x14ac:dyDescent="0.2">
      <c r="A22" s="30" t="s">
        <v>11</v>
      </c>
      <c r="B22" s="30" t="s">
        <v>11</v>
      </c>
      <c r="C22" s="99">
        <f>C21/C16</f>
        <v>0.36252750707324738</v>
      </c>
      <c r="D22" s="99">
        <f>D21/D16</f>
        <v>0.31547260686333534</v>
      </c>
      <c r="E22" s="99">
        <f>E21/E16</f>
        <v>0.32746478873239437</v>
      </c>
      <c r="F22" s="99">
        <f>F21/F16</f>
        <v>0.34523809523809523</v>
      </c>
      <c r="G22" s="99" t="s">
        <v>19</v>
      </c>
    </row>
    <row r="23" spans="1:7" x14ac:dyDescent="0.2">
      <c r="A23" s="29" t="s">
        <v>12</v>
      </c>
      <c r="B23" s="29" t="s">
        <v>271</v>
      </c>
      <c r="C23" s="98">
        <v>4456</v>
      </c>
      <c r="D23" s="98">
        <v>417</v>
      </c>
      <c r="E23" s="98">
        <v>234</v>
      </c>
      <c r="F23" s="98">
        <v>111</v>
      </c>
      <c r="G23" s="99">
        <f>F23/E23</f>
        <v>0.47435897435897434</v>
      </c>
    </row>
    <row r="24" spans="1:7" x14ac:dyDescent="0.2">
      <c r="A24" s="29" t="s">
        <v>13</v>
      </c>
      <c r="B24" s="29" t="s">
        <v>272</v>
      </c>
      <c r="C24" s="98">
        <v>1310</v>
      </c>
      <c r="D24" s="98">
        <v>107</v>
      </c>
      <c r="E24" s="98">
        <v>45</v>
      </c>
      <c r="F24" s="98">
        <v>34</v>
      </c>
      <c r="G24" s="99">
        <f>F24/E24</f>
        <v>0.75555555555555554</v>
      </c>
    </row>
    <row r="25" spans="1:7" x14ac:dyDescent="0.2">
      <c r="A25" s="2" t="s">
        <v>34</v>
      </c>
      <c r="B25" s="2"/>
      <c r="C25" s="82"/>
      <c r="D25" s="72"/>
      <c r="E25" s="72"/>
      <c r="F25" s="72"/>
      <c r="G25" s="72"/>
    </row>
    <row r="26" spans="1:7" x14ac:dyDescent="0.2">
      <c r="A26" s="2" t="s">
        <v>82</v>
      </c>
      <c r="B26" s="2"/>
      <c r="C26" s="59"/>
      <c r="D26" s="59"/>
      <c r="E26" s="59"/>
      <c r="F26" s="59"/>
      <c r="G26" s="59"/>
    </row>
    <row r="36" spans="1:2" x14ac:dyDescent="0.2">
      <c r="A36" s="12"/>
      <c r="B36" s="12"/>
    </row>
  </sheetData>
  <phoneticPr fontId="2" type="noConversion"/>
  <pageMargins left="0.75" right="0.57999999999999996" top="0.9" bottom="1" header="0" footer="0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G36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156</v>
      </c>
      <c r="B1" s="5"/>
    </row>
    <row r="2" spans="1:7" x14ac:dyDescent="0.2">
      <c r="A2" s="24" t="s">
        <v>157</v>
      </c>
      <c r="B2" s="24"/>
      <c r="C2" s="59"/>
      <c r="D2" s="59"/>
      <c r="E2" s="59"/>
      <c r="F2" s="59"/>
      <c r="G2" s="59"/>
    </row>
    <row r="3" spans="1:7" x14ac:dyDescent="0.2">
      <c r="C3" s="59"/>
      <c r="D3" s="59"/>
      <c r="E3" s="59"/>
      <c r="F3" s="59"/>
      <c r="G3" s="59"/>
    </row>
    <row r="4" spans="1:7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17" t="s">
        <v>38</v>
      </c>
      <c r="B6" s="17" t="s">
        <v>267</v>
      </c>
      <c r="C6" s="96">
        <v>18854</v>
      </c>
      <c r="D6" s="96">
        <v>1837</v>
      </c>
      <c r="E6" s="96">
        <v>966</v>
      </c>
      <c r="F6" s="96">
        <v>418</v>
      </c>
      <c r="G6" s="97">
        <f>F6/E6</f>
        <v>0.43271221532091098</v>
      </c>
    </row>
    <row r="7" spans="1:7" x14ac:dyDescent="0.2">
      <c r="A7" s="11" t="s">
        <v>5</v>
      </c>
      <c r="B7" s="11" t="s">
        <v>268</v>
      </c>
      <c r="C7" s="96">
        <f>C8+C12</f>
        <v>19816</v>
      </c>
      <c r="D7" s="96">
        <f>D8+D12</f>
        <v>1928</v>
      </c>
      <c r="E7" s="96">
        <f>E8+E12</f>
        <v>1001</v>
      </c>
      <c r="F7" s="96">
        <v>436</v>
      </c>
      <c r="G7" s="97">
        <f>F7/E7</f>
        <v>0.43556443556443558</v>
      </c>
    </row>
    <row r="8" spans="1:7" ht="12.75" customHeight="1" x14ac:dyDescent="0.2">
      <c r="A8" s="13" t="s">
        <v>7</v>
      </c>
      <c r="B8" s="13" t="s">
        <v>211</v>
      </c>
      <c r="C8" s="100">
        <f>C10+C11</f>
        <v>8600</v>
      </c>
      <c r="D8" s="100">
        <f>D10+D11</f>
        <v>791</v>
      </c>
      <c r="E8" s="98">
        <f>E10+E11</f>
        <v>384</v>
      </c>
      <c r="F8" s="98">
        <f>F10+F11</f>
        <v>184</v>
      </c>
      <c r="G8" s="99">
        <f>F8/E8</f>
        <v>0.47916666666666669</v>
      </c>
    </row>
    <row r="9" spans="1:7" x14ac:dyDescent="0.2">
      <c r="A9" s="30" t="s">
        <v>11</v>
      </c>
      <c r="B9" s="30" t="s">
        <v>11</v>
      </c>
      <c r="C9" s="102">
        <f>C8/C7</f>
        <v>0.43399273314493336</v>
      </c>
      <c r="D9" s="102">
        <f>D8/D7</f>
        <v>0.41026970954356845</v>
      </c>
      <c r="E9" s="99">
        <f>E8/E7</f>
        <v>0.38361638361638362</v>
      </c>
      <c r="F9" s="99">
        <f>F8/F7</f>
        <v>0.42201834862385323</v>
      </c>
      <c r="G9" s="99" t="s">
        <v>19</v>
      </c>
    </row>
    <row r="10" spans="1:7" x14ac:dyDescent="0.2">
      <c r="A10" s="29" t="s">
        <v>8</v>
      </c>
      <c r="B10" s="29" t="s">
        <v>269</v>
      </c>
      <c r="C10" s="100">
        <v>7353</v>
      </c>
      <c r="D10" s="100">
        <v>653</v>
      </c>
      <c r="E10" s="98">
        <v>328</v>
      </c>
      <c r="F10" s="98">
        <v>148</v>
      </c>
      <c r="G10" s="99">
        <f>F10/E10</f>
        <v>0.45121951219512196</v>
      </c>
    </row>
    <row r="11" spans="1:7" x14ac:dyDescent="0.2">
      <c r="A11" s="29" t="s">
        <v>9</v>
      </c>
      <c r="B11" s="29" t="s">
        <v>270</v>
      </c>
      <c r="C11" s="100">
        <v>1247</v>
      </c>
      <c r="D11" s="100">
        <v>138</v>
      </c>
      <c r="E11" s="98">
        <v>56</v>
      </c>
      <c r="F11" s="98">
        <v>36</v>
      </c>
      <c r="G11" s="99">
        <f>F11/E11</f>
        <v>0.6428571428571429</v>
      </c>
    </row>
    <row r="12" spans="1:7" x14ac:dyDescent="0.2">
      <c r="A12" s="13" t="s">
        <v>10</v>
      </c>
      <c r="B12" s="13" t="s">
        <v>212</v>
      </c>
      <c r="C12" s="100">
        <f>C14+C15</f>
        <v>11216</v>
      </c>
      <c r="D12" s="98">
        <f>D14+D15</f>
        <v>1137</v>
      </c>
      <c r="E12" s="98">
        <f>E14+E15</f>
        <v>617</v>
      </c>
      <c r="F12" s="98">
        <f>F14+F15</f>
        <v>252</v>
      </c>
      <c r="G12" s="99">
        <f>F12/E12</f>
        <v>0.40842787682333875</v>
      </c>
    </row>
    <row r="13" spans="1:7" x14ac:dyDescent="0.2">
      <c r="A13" s="30" t="s">
        <v>11</v>
      </c>
      <c r="B13" s="30" t="s">
        <v>11</v>
      </c>
      <c r="C13" s="102">
        <f>C12/C7</f>
        <v>0.56600726685506664</v>
      </c>
      <c r="D13" s="102">
        <f>D12/D7</f>
        <v>0.58973029045643155</v>
      </c>
      <c r="E13" s="99">
        <f>E12/E7</f>
        <v>0.61638361638361638</v>
      </c>
      <c r="F13" s="99">
        <f>F12/F7</f>
        <v>0.57798165137614677</v>
      </c>
      <c r="G13" s="99" t="s">
        <v>19</v>
      </c>
    </row>
    <row r="14" spans="1:7" x14ac:dyDescent="0.2">
      <c r="A14" s="29" t="s">
        <v>12</v>
      </c>
      <c r="B14" s="29" t="s">
        <v>271</v>
      </c>
      <c r="C14" s="100">
        <v>9459</v>
      </c>
      <c r="D14" s="100">
        <v>943</v>
      </c>
      <c r="E14" s="98">
        <v>510</v>
      </c>
      <c r="F14" s="98">
        <v>198</v>
      </c>
      <c r="G14" s="99">
        <f>F14/E14</f>
        <v>0.38823529411764707</v>
      </c>
    </row>
    <row r="15" spans="1:7" x14ac:dyDescent="0.2">
      <c r="A15" s="29" t="s">
        <v>13</v>
      </c>
      <c r="B15" s="29" t="s">
        <v>272</v>
      </c>
      <c r="C15" s="100">
        <v>1757</v>
      </c>
      <c r="D15" s="100">
        <v>194</v>
      </c>
      <c r="E15" s="98">
        <v>107</v>
      </c>
      <c r="F15" s="98">
        <v>54</v>
      </c>
      <c r="G15" s="99">
        <f>F15/E15</f>
        <v>0.50467289719626163</v>
      </c>
    </row>
    <row r="16" spans="1:7" x14ac:dyDescent="0.2">
      <c r="A16" s="11" t="s">
        <v>18</v>
      </c>
      <c r="B16" s="11" t="s">
        <v>273</v>
      </c>
      <c r="C16" s="96">
        <f>C17+C21</f>
        <v>18868</v>
      </c>
      <c r="D16" s="96">
        <f>D17+D21</f>
        <v>1924</v>
      </c>
      <c r="E16" s="96">
        <f>E17+E21</f>
        <v>982</v>
      </c>
      <c r="F16" s="96">
        <f>F17+F21</f>
        <v>426</v>
      </c>
      <c r="G16" s="97">
        <f>F16/E16</f>
        <v>0.43380855397148677</v>
      </c>
    </row>
    <row r="17" spans="1:7" x14ac:dyDescent="0.2">
      <c r="A17" s="13" t="s">
        <v>7</v>
      </c>
      <c r="B17" s="13" t="s">
        <v>211</v>
      </c>
      <c r="C17" s="100">
        <f>C19+C20</f>
        <v>12599</v>
      </c>
      <c r="D17" s="100">
        <f>D19+D20</f>
        <v>1293</v>
      </c>
      <c r="E17" s="98">
        <f>E19+E20</f>
        <v>661</v>
      </c>
      <c r="F17" s="98">
        <f>F19+F20</f>
        <v>259</v>
      </c>
      <c r="G17" s="99">
        <f>F17/E17</f>
        <v>0.39183055975794251</v>
      </c>
    </row>
    <row r="18" spans="1:7" x14ac:dyDescent="0.2">
      <c r="A18" s="30" t="s">
        <v>11</v>
      </c>
      <c r="B18" s="30" t="s">
        <v>11</v>
      </c>
      <c r="C18" s="102">
        <f>C17/C16</f>
        <v>0.66774432902268388</v>
      </c>
      <c r="D18" s="102">
        <f>D17/D16</f>
        <v>0.67203742203742201</v>
      </c>
      <c r="E18" s="99">
        <f>E17/E16</f>
        <v>0.6731160896130346</v>
      </c>
      <c r="F18" s="99">
        <f>F17/F16</f>
        <v>0.607981220657277</v>
      </c>
      <c r="G18" s="99" t="s">
        <v>19</v>
      </c>
    </row>
    <row r="19" spans="1:7" x14ac:dyDescent="0.2">
      <c r="A19" s="29" t="s">
        <v>8</v>
      </c>
      <c r="B19" s="29" t="s">
        <v>269</v>
      </c>
      <c r="C19" s="100">
        <v>10538</v>
      </c>
      <c r="D19" s="100">
        <v>1058</v>
      </c>
      <c r="E19" s="98">
        <v>532</v>
      </c>
      <c r="F19" s="98">
        <v>194</v>
      </c>
      <c r="G19" s="99">
        <f>F19/E19</f>
        <v>0.36466165413533835</v>
      </c>
    </row>
    <row r="20" spans="1:7" x14ac:dyDescent="0.2">
      <c r="A20" s="29" t="s">
        <v>9</v>
      </c>
      <c r="B20" s="29" t="s">
        <v>270</v>
      </c>
      <c r="C20" s="100">
        <v>2061</v>
      </c>
      <c r="D20" s="100">
        <v>235</v>
      </c>
      <c r="E20" s="98">
        <v>129</v>
      </c>
      <c r="F20" s="98">
        <v>65</v>
      </c>
      <c r="G20" s="99">
        <f>F20/E20</f>
        <v>0.50387596899224807</v>
      </c>
    </row>
    <row r="21" spans="1:7" x14ac:dyDescent="0.2">
      <c r="A21" s="13" t="s">
        <v>10</v>
      </c>
      <c r="B21" s="13" t="s">
        <v>212</v>
      </c>
      <c r="C21" s="100">
        <f>C23+C24</f>
        <v>6269</v>
      </c>
      <c r="D21" s="100">
        <f>D23+D24</f>
        <v>631</v>
      </c>
      <c r="E21" s="98">
        <f>E23+E24</f>
        <v>321</v>
      </c>
      <c r="F21" s="98">
        <f>F23+F24</f>
        <v>167</v>
      </c>
      <c r="G21" s="99">
        <f>F21/E21</f>
        <v>0.52024922118380057</v>
      </c>
    </row>
    <row r="22" spans="1:7" x14ac:dyDescent="0.2">
      <c r="A22" s="30" t="s">
        <v>11</v>
      </c>
      <c r="B22" s="30" t="s">
        <v>11</v>
      </c>
      <c r="C22" s="102">
        <f>C21/C16</f>
        <v>0.33225567097731606</v>
      </c>
      <c r="D22" s="102">
        <f>D21/D16</f>
        <v>0.32796257796257794</v>
      </c>
      <c r="E22" s="99">
        <f>E21/E16</f>
        <v>0.3268839103869654</v>
      </c>
      <c r="F22" s="99">
        <f>F21/F16</f>
        <v>0.392018779342723</v>
      </c>
      <c r="G22" s="99" t="s">
        <v>19</v>
      </c>
    </row>
    <row r="23" spans="1:7" x14ac:dyDescent="0.2">
      <c r="A23" s="29" t="s">
        <v>12</v>
      </c>
      <c r="B23" s="29" t="s">
        <v>271</v>
      </c>
      <c r="C23" s="100">
        <v>4974</v>
      </c>
      <c r="D23" s="100">
        <v>516</v>
      </c>
      <c r="E23" s="98">
        <v>247</v>
      </c>
      <c r="F23" s="98">
        <v>115</v>
      </c>
      <c r="G23" s="99">
        <f>F23/E23</f>
        <v>0.46558704453441296</v>
      </c>
    </row>
    <row r="24" spans="1:7" x14ac:dyDescent="0.2">
      <c r="A24" s="29" t="s">
        <v>13</v>
      </c>
      <c r="B24" s="29" t="s">
        <v>272</v>
      </c>
      <c r="C24" s="100">
        <v>1295</v>
      </c>
      <c r="D24" s="100">
        <v>115</v>
      </c>
      <c r="E24" s="98">
        <v>74</v>
      </c>
      <c r="F24" s="98">
        <v>52</v>
      </c>
      <c r="G24" s="99">
        <f>F24/E24</f>
        <v>0.70270270270270274</v>
      </c>
    </row>
    <row r="25" spans="1:7" x14ac:dyDescent="0.2">
      <c r="A25" s="2" t="s">
        <v>34</v>
      </c>
      <c r="B25" s="2"/>
      <c r="C25" s="82"/>
      <c r="D25" s="72"/>
      <c r="E25" s="72"/>
      <c r="F25" s="72"/>
      <c r="G25" s="72"/>
    </row>
    <row r="26" spans="1:7" x14ac:dyDescent="0.2">
      <c r="A26" s="2" t="s">
        <v>82</v>
      </c>
      <c r="B26" s="2"/>
      <c r="C26" s="59"/>
      <c r="D26" s="59"/>
      <c r="E26" s="59"/>
      <c r="F26" s="59"/>
      <c r="G26" s="59"/>
    </row>
    <row r="36" spans="1:2" x14ac:dyDescent="0.2">
      <c r="A36" s="12"/>
      <c r="B36" s="12"/>
    </row>
  </sheetData>
  <pageMargins left="0.75" right="0.57999999999999996" top="0.9" bottom="1" header="0" footer="0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H36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7" width="11.42578125" style="1" customWidth="1"/>
    <col min="8" max="16384" width="11.42578125" style="1"/>
  </cols>
  <sheetData>
    <row r="1" spans="1:8" x14ac:dyDescent="0.2">
      <c r="A1" s="5" t="s">
        <v>158</v>
      </c>
      <c r="B1" s="5"/>
      <c r="C1" s="59"/>
      <c r="D1" s="59"/>
      <c r="E1" s="59"/>
      <c r="F1" s="59"/>
      <c r="G1" s="59"/>
      <c r="H1" s="59"/>
    </row>
    <row r="2" spans="1:8" x14ac:dyDescent="0.2">
      <c r="A2" s="24" t="s">
        <v>159</v>
      </c>
      <c r="B2" s="24"/>
      <c r="C2" s="59"/>
      <c r="D2" s="59"/>
      <c r="E2" s="59"/>
      <c r="F2" s="59"/>
      <c r="G2" s="59"/>
      <c r="H2" s="59"/>
    </row>
    <row r="3" spans="1:8" x14ac:dyDescent="0.2">
      <c r="C3" s="59"/>
      <c r="D3" s="59"/>
      <c r="E3" s="59"/>
      <c r="F3" s="59"/>
      <c r="G3" s="59"/>
      <c r="H3" s="59"/>
    </row>
    <row r="4" spans="1:8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  <c r="H4" s="59"/>
    </row>
    <row r="5" spans="1:8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  <c r="H5" s="59"/>
    </row>
    <row r="6" spans="1:8" x14ac:dyDescent="0.2">
      <c r="A6" s="17" t="s">
        <v>38</v>
      </c>
      <c r="B6" s="17" t="s">
        <v>267</v>
      </c>
      <c r="C6" s="96">
        <v>20705</v>
      </c>
      <c r="D6" s="96">
        <v>2073</v>
      </c>
      <c r="E6" s="96">
        <v>1131</v>
      </c>
      <c r="F6" s="96">
        <v>478</v>
      </c>
      <c r="G6" s="97">
        <f>F6/E6</f>
        <v>0.42263483642793986</v>
      </c>
      <c r="H6" s="59"/>
    </row>
    <row r="7" spans="1:8" x14ac:dyDescent="0.2">
      <c r="A7" s="11" t="s">
        <v>5</v>
      </c>
      <c r="B7" s="11" t="s">
        <v>268</v>
      </c>
      <c r="C7" s="96">
        <f>C8+C12</f>
        <v>22090</v>
      </c>
      <c r="D7" s="96">
        <f>SUM(D8+D12)</f>
        <v>2151</v>
      </c>
      <c r="E7" s="96">
        <f>E8+E12</f>
        <v>1181</v>
      </c>
      <c r="F7" s="96">
        <f>F8+F12</f>
        <v>510</v>
      </c>
      <c r="G7" s="97">
        <f>F7/E7</f>
        <v>0.43183742591024554</v>
      </c>
      <c r="H7" s="59"/>
    </row>
    <row r="8" spans="1:8" ht="12.75" customHeight="1" x14ac:dyDescent="0.2">
      <c r="A8" s="13" t="s">
        <v>7</v>
      </c>
      <c r="B8" s="13" t="s">
        <v>211</v>
      </c>
      <c r="C8" s="100">
        <f>C10+C11</f>
        <v>9307</v>
      </c>
      <c r="D8" s="100">
        <f>D10+D11</f>
        <v>859</v>
      </c>
      <c r="E8" s="98">
        <f>E10+E11</f>
        <v>453</v>
      </c>
      <c r="F8" s="100">
        <f>F10+F11</f>
        <v>224</v>
      </c>
      <c r="G8" s="99">
        <f>F8/E8</f>
        <v>0.49448123620309054</v>
      </c>
      <c r="H8" s="59"/>
    </row>
    <row r="9" spans="1:8" x14ac:dyDescent="0.2">
      <c r="A9" s="30" t="s">
        <v>11</v>
      </c>
      <c r="B9" s="30" t="s">
        <v>11</v>
      </c>
      <c r="C9" s="102">
        <f>C8/C7</f>
        <v>0.42132186509732911</v>
      </c>
      <c r="D9" s="102">
        <f>D8/D7</f>
        <v>0.399349139934914</v>
      </c>
      <c r="E9" s="99">
        <f>E8/E7</f>
        <v>0.3835732430143946</v>
      </c>
      <c r="F9" s="102">
        <f>F8/F7</f>
        <v>0.4392156862745098</v>
      </c>
      <c r="G9" s="99" t="s">
        <v>19</v>
      </c>
      <c r="H9" s="59"/>
    </row>
    <row r="10" spans="1:8" x14ac:dyDescent="0.2">
      <c r="A10" s="29" t="s">
        <v>8</v>
      </c>
      <c r="B10" s="29" t="s">
        <v>269</v>
      </c>
      <c r="C10" s="100">
        <v>7689</v>
      </c>
      <c r="D10" s="100">
        <v>700</v>
      </c>
      <c r="E10" s="98">
        <v>369</v>
      </c>
      <c r="F10" s="100">
        <v>173</v>
      </c>
      <c r="G10" s="99">
        <f>F10/E10</f>
        <v>0.46883468834688347</v>
      </c>
      <c r="H10" s="59"/>
    </row>
    <row r="11" spans="1:8" x14ac:dyDescent="0.2">
      <c r="A11" s="29" t="s">
        <v>9</v>
      </c>
      <c r="B11" s="29" t="s">
        <v>270</v>
      </c>
      <c r="C11" s="100">
        <v>1618</v>
      </c>
      <c r="D11" s="100">
        <v>159</v>
      </c>
      <c r="E11" s="98">
        <v>84</v>
      </c>
      <c r="F11" s="100">
        <v>51</v>
      </c>
      <c r="G11" s="99">
        <f>F11/E11</f>
        <v>0.6071428571428571</v>
      </c>
      <c r="H11" s="59"/>
    </row>
    <row r="12" spans="1:8" x14ac:dyDescent="0.2">
      <c r="A12" s="13" t="s">
        <v>10</v>
      </c>
      <c r="B12" s="13" t="s">
        <v>212</v>
      </c>
      <c r="C12" s="100">
        <f>C14+C15</f>
        <v>12783</v>
      </c>
      <c r="D12" s="100">
        <f>D14+D15</f>
        <v>1292</v>
      </c>
      <c r="E12" s="98">
        <f>E14+E15</f>
        <v>728</v>
      </c>
      <c r="F12" s="100">
        <f>F14+F15</f>
        <v>286</v>
      </c>
      <c r="G12" s="99">
        <f>F12/E12</f>
        <v>0.39285714285714285</v>
      </c>
      <c r="H12" s="59"/>
    </row>
    <row r="13" spans="1:8" x14ac:dyDescent="0.2">
      <c r="A13" s="30" t="s">
        <v>11</v>
      </c>
      <c r="B13" s="30" t="s">
        <v>11</v>
      </c>
      <c r="C13" s="102">
        <f>C12/C7</f>
        <v>0.57867813490267084</v>
      </c>
      <c r="D13" s="102">
        <f>D12/D7</f>
        <v>0.60065086006508606</v>
      </c>
      <c r="E13" s="99">
        <f>E12/E7</f>
        <v>0.61642675698560545</v>
      </c>
      <c r="F13" s="102">
        <f>F12/F7</f>
        <v>0.5607843137254902</v>
      </c>
      <c r="G13" s="99" t="s">
        <v>19</v>
      </c>
      <c r="H13" s="59"/>
    </row>
    <row r="14" spans="1:8" x14ac:dyDescent="0.2">
      <c r="A14" s="29" t="s">
        <v>12</v>
      </c>
      <c r="B14" s="29" t="s">
        <v>271</v>
      </c>
      <c r="C14" s="100">
        <v>10567</v>
      </c>
      <c r="D14" s="100">
        <v>1020</v>
      </c>
      <c r="E14" s="98">
        <v>576</v>
      </c>
      <c r="F14" s="100">
        <v>206</v>
      </c>
      <c r="G14" s="99">
        <f>F14/E14</f>
        <v>0.3576388888888889</v>
      </c>
      <c r="H14" s="59"/>
    </row>
    <row r="15" spans="1:8" x14ac:dyDescent="0.2">
      <c r="A15" s="29" t="s">
        <v>13</v>
      </c>
      <c r="B15" s="29" t="s">
        <v>272</v>
      </c>
      <c r="C15" s="100">
        <v>2216</v>
      </c>
      <c r="D15" s="100">
        <v>272</v>
      </c>
      <c r="E15" s="98">
        <v>152</v>
      </c>
      <c r="F15" s="100">
        <v>80</v>
      </c>
      <c r="G15" s="99">
        <f>F15/E15</f>
        <v>0.52631578947368418</v>
      </c>
      <c r="H15" s="59"/>
    </row>
    <row r="16" spans="1:8" x14ac:dyDescent="0.2">
      <c r="A16" s="11" t="s">
        <v>18</v>
      </c>
      <c r="B16" s="11" t="s">
        <v>273</v>
      </c>
      <c r="C16" s="96">
        <f>C17+C21</f>
        <v>20687</v>
      </c>
      <c r="D16" s="96">
        <f>D17+D21</f>
        <v>2080</v>
      </c>
      <c r="E16" s="96">
        <f>E17+E21</f>
        <v>1151</v>
      </c>
      <c r="F16" s="96">
        <f>F17+F21</f>
        <v>490</v>
      </c>
      <c r="G16" s="97">
        <f>F16/E16</f>
        <v>0.4257167680278019</v>
      </c>
      <c r="H16" s="59"/>
    </row>
    <row r="17" spans="1:8" x14ac:dyDescent="0.2">
      <c r="A17" s="13" t="s">
        <v>7</v>
      </c>
      <c r="B17" s="13" t="s">
        <v>211</v>
      </c>
      <c r="C17" s="100">
        <f>C20+C19</f>
        <v>13900</v>
      </c>
      <c r="D17" s="100">
        <f>D20+D19</f>
        <v>1449</v>
      </c>
      <c r="E17" s="98">
        <f>E20+E19</f>
        <v>770</v>
      </c>
      <c r="F17" s="100">
        <f>F20+F19</f>
        <v>313</v>
      </c>
      <c r="G17" s="99">
        <f>F17/E17</f>
        <v>0.40649350649350652</v>
      </c>
      <c r="H17" s="59"/>
    </row>
    <row r="18" spans="1:8" x14ac:dyDescent="0.2">
      <c r="A18" s="30" t="s">
        <v>11</v>
      </c>
      <c r="B18" s="30" t="s">
        <v>11</v>
      </c>
      <c r="C18" s="102">
        <f>C17/C16</f>
        <v>0.67191956301058631</v>
      </c>
      <c r="D18" s="102">
        <f>D17/D16</f>
        <v>0.69663461538461535</v>
      </c>
      <c r="E18" s="99">
        <f>E17/E16</f>
        <v>0.66898349261511725</v>
      </c>
      <c r="F18" s="102">
        <f>F17/F16</f>
        <v>0.63877551020408163</v>
      </c>
      <c r="G18" s="99" t="s">
        <v>19</v>
      </c>
      <c r="H18" s="59"/>
    </row>
    <row r="19" spans="1:8" x14ac:dyDescent="0.2">
      <c r="A19" s="29" t="s">
        <v>8</v>
      </c>
      <c r="B19" s="29" t="s">
        <v>269</v>
      </c>
      <c r="C19" s="100">
        <v>11428</v>
      </c>
      <c r="D19" s="100">
        <v>1169</v>
      </c>
      <c r="E19" s="98">
        <v>616</v>
      </c>
      <c r="F19" s="100">
        <v>237</v>
      </c>
      <c r="G19" s="99">
        <f>F19/E19</f>
        <v>0.38474025974025972</v>
      </c>
      <c r="H19" s="59"/>
    </row>
    <row r="20" spans="1:8" x14ac:dyDescent="0.2">
      <c r="A20" s="29" t="s">
        <v>9</v>
      </c>
      <c r="B20" s="29" t="s">
        <v>270</v>
      </c>
      <c r="C20" s="100">
        <v>2472</v>
      </c>
      <c r="D20" s="100">
        <v>280</v>
      </c>
      <c r="E20" s="98">
        <v>154</v>
      </c>
      <c r="F20" s="100">
        <v>76</v>
      </c>
      <c r="G20" s="99">
        <f>F20/E20</f>
        <v>0.4935064935064935</v>
      </c>
      <c r="H20" s="59"/>
    </row>
    <row r="21" spans="1:8" x14ac:dyDescent="0.2">
      <c r="A21" s="13" t="s">
        <v>10</v>
      </c>
      <c r="B21" s="13" t="s">
        <v>212</v>
      </c>
      <c r="C21" s="100">
        <f>C23+C24</f>
        <v>6787</v>
      </c>
      <c r="D21" s="100">
        <f>D23+D24</f>
        <v>631</v>
      </c>
      <c r="E21" s="98">
        <f>E23+E24</f>
        <v>381</v>
      </c>
      <c r="F21" s="100">
        <f>F23+F24</f>
        <v>177</v>
      </c>
      <c r="G21" s="99">
        <f>F21/E21</f>
        <v>0.46456692913385828</v>
      </c>
      <c r="H21" s="59"/>
    </row>
    <row r="22" spans="1:8" x14ac:dyDescent="0.2">
      <c r="A22" s="30" t="s">
        <v>11</v>
      </c>
      <c r="B22" s="30" t="s">
        <v>11</v>
      </c>
      <c r="C22" s="102">
        <f>C21/C16</f>
        <v>0.32808043698941364</v>
      </c>
      <c r="D22" s="102">
        <f>D21/D16</f>
        <v>0.30336538461538459</v>
      </c>
      <c r="E22" s="99">
        <f>E21/E16</f>
        <v>0.3310165073848827</v>
      </c>
      <c r="F22" s="102">
        <f>F21/F16</f>
        <v>0.36122448979591837</v>
      </c>
      <c r="G22" s="99" t="s">
        <v>19</v>
      </c>
      <c r="H22" s="59"/>
    </row>
    <row r="23" spans="1:8" x14ac:dyDescent="0.2">
      <c r="A23" s="29" t="s">
        <v>12</v>
      </c>
      <c r="B23" s="29" t="s">
        <v>271</v>
      </c>
      <c r="C23" s="100">
        <v>5292</v>
      </c>
      <c r="D23" s="100">
        <v>501</v>
      </c>
      <c r="E23" s="98">
        <v>292</v>
      </c>
      <c r="F23" s="100">
        <v>125</v>
      </c>
      <c r="G23" s="99">
        <f>F23/E23</f>
        <v>0.42808219178082191</v>
      </c>
      <c r="H23" s="59"/>
    </row>
    <row r="24" spans="1:8" x14ac:dyDescent="0.2">
      <c r="A24" s="29" t="s">
        <v>13</v>
      </c>
      <c r="B24" s="29" t="s">
        <v>272</v>
      </c>
      <c r="C24" s="100">
        <v>1495</v>
      </c>
      <c r="D24" s="100">
        <v>130</v>
      </c>
      <c r="E24" s="98">
        <v>89</v>
      </c>
      <c r="F24" s="100">
        <v>52</v>
      </c>
      <c r="G24" s="99">
        <f>F24/E24</f>
        <v>0.5842696629213483</v>
      </c>
      <c r="H24" s="59"/>
    </row>
    <row r="25" spans="1:8" x14ac:dyDescent="0.2">
      <c r="A25" s="2" t="s">
        <v>34</v>
      </c>
      <c r="B25" s="2"/>
      <c r="C25" s="82"/>
      <c r="D25" s="72"/>
      <c r="E25" s="72"/>
      <c r="F25" s="72"/>
      <c r="G25" s="72"/>
      <c r="H25" s="59"/>
    </row>
    <row r="26" spans="1:8" x14ac:dyDescent="0.2">
      <c r="A26" s="2" t="s">
        <v>82</v>
      </c>
      <c r="B26" s="2"/>
      <c r="C26" s="59"/>
      <c r="D26" s="59"/>
      <c r="E26" s="59"/>
      <c r="F26" s="59"/>
      <c r="G26" s="59"/>
      <c r="H26" s="59"/>
    </row>
    <row r="27" spans="1:8" x14ac:dyDescent="0.2">
      <c r="C27" s="59"/>
      <c r="D27" s="59"/>
      <c r="E27" s="59"/>
      <c r="F27" s="59"/>
      <c r="G27" s="59"/>
      <c r="H27" s="59"/>
    </row>
    <row r="36" spans="1:2" x14ac:dyDescent="0.2">
      <c r="A36" s="12"/>
      <c r="B36" s="12"/>
    </row>
  </sheetData>
  <pageMargins left="0.75" right="0.57999999999999996" top="0.9" bottom="1" header="0" footer="0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H36"/>
  <sheetViews>
    <sheetView workbookViewId="0">
      <selection activeCell="A3" sqref="A3"/>
    </sheetView>
  </sheetViews>
  <sheetFormatPr baseColWidth="10" defaultRowHeight="12.75" x14ac:dyDescent="0.2"/>
  <cols>
    <col min="1" max="2" width="23.7109375" style="1" customWidth="1"/>
    <col min="3" max="7" width="11.42578125" style="1" customWidth="1"/>
    <col min="8" max="16384" width="11.42578125" style="1"/>
  </cols>
  <sheetData>
    <row r="1" spans="1:8" x14ac:dyDescent="0.2">
      <c r="A1" s="5" t="s">
        <v>161</v>
      </c>
      <c r="B1" s="5"/>
    </row>
    <row r="2" spans="1:8" x14ac:dyDescent="0.2">
      <c r="A2" s="24" t="s">
        <v>160</v>
      </c>
      <c r="B2" s="24"/>
    </row>
    <row r="4" spans="1:8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  <c r="H4" s="59"/>
    </row>
    <row r="5" spans="1:8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  <c r="H5" s="59"/>
    </row>
    <row r="6" spans="1:8" x14ac:dyDescent="0.2">
      <c r="A6" s="17" t="s">
        <v>38</v>
      </c>
      <c r="B6" s="17" t="s">
        <v>267</v>
      </c>
      <c r="C6" s="96">
        <v>21515</v>
      </c>
      <c r="D6" s="96">
        <v>2230</v>
      </c>
      <c r="E6" s="96">
        <v>1075</v>
      </c>
      <c r="F6" s="96">
        <v>409</v>
      </c>
      <c r="G6" s="97">
        <f>F6/E6</f>
        <v>0.38046511627906976</v>
      </c>
      <c r="H6" s="59"/>
    </row>
    <row r="7" spans="1:8" x14ac:dyDescent="0.2">
      <c r="A7" s="11" t="s">
        <v>5</v>
      </c>
      <c r="B7" s="11" t="s">
        <v>268</v>
      </c>
      <c r="C7" s="96">
        <f>C8+C12</f>
        <v>22653</v>
      </c>
      <c r="D7" s="96">
        <f>SUM(D8+D12)</f>
        <v>2321</v>
      </c>
      <c r="E7" s="96">
        <f>SUM(E8+E12)</f>
        <v>1135</v>
      </c>
      <c r="F7" s="96">
        <v>436</v>
      </c>
      <c r="G7" s="97">
        <f>F7/E7</f>
        <v>0.38414096916299562</v>
      </c>
      <c r="H7" s="59"/>
    </row>
    <row r="8" spans="1:8" ht="12.75" customHeight="1" x14ac:dyDescent="0.2">
      <c r="A8" s="13" t="s">
        <v>7</v>
      </c>
      <c r="B8" s="13" t="s">
        <v>211</v>
      </c>
      <c r="C8" s="100">
        <f>C10+C11</f>
        <v>9951</v>
      </c>
      <c r="D8" s="100">
        <f>D10+D11</f>
        <v>986</v>
      </c>
      <c r="E8" s="100">
        <f>E10+E11</f>
        <v>453</v>
      </c>
      <c r="F8" s="98">
        <f>F10+F11</f>
        <v>192</v>
      </c>
      <c r="G8" s="99">
        <f>F8/E8</f>
        <v>0.42384105960264901</v>
      </c>
      <c r="H8" s="59"/>
    </row>
    <row r="9" spans="1:8" x14ac:dyDescent="0.2">
      <c r="A9" s="30" t="s">
        <v>11</v>
      </c>
      <c r="B9" s="30" t="s">
        <v>11</v>
      </c>
      <c r="C9" s="102">
        <f>C8/C7</f>
        <v>0.43927956562044762</v>
      </c>
      <c r="D9" s="102">
        <f>D8/D7</f>
        <v>0.42481688927186556</v>
      </c>
      <c r="E9" s="102">
        <f>E8/E7</f>
        <v>0.39911894273127752</v>
      </c>
      <c r="F9" s="99">
        <f>F8/F7</f>
        <v>0.44036697247706424</v>
      </c>
      <c r="G9" s="99" t="s">
        <v>19</v>
      </c>
      <c r="H9" s="59"/>
    </row>
    <row r="10" spans="1:8" x14ac:dyDescent="0.2">
      <c r="A10" s="29" t="s">
        <v>8</v>
      </c>
      <c r="B10" s="29" t="s">
        <v>269</v>
      </c>
      <c r="C10" s="100">
        <v>7951</v>
      </c>
      <c r="D10" s="100">
        <v>825</v>
      </c>
      <c r="E10" s="100">
        <v>374</v>
      </c>
      <c r="F10" s="98">
        <v>140</v>
      </c>
      <c r="G10" s="99">
        <f>F10/E10</f>
        <v>0.37433155080213903</v>
      </c>
      <c r="H10" s="59"/>
    </row>
    <row r="11" spans="1:8" x14ac:dyDescent="0.2">
      <c r="A11" s="29" t="s">
        <v>9</v>
      </c>
      <c r="B11" s="29" t="s">
        <v>270</v>
      </c>
      <c r="C11" s="100">
        <v>2000</v>
      </c>
      <c r="D11" s="100">
        <v>161</v>
      </c>
      <c r="E11" s="100">
        <v>79</v>
      </c>
      <c r="F11" s="98">
        <v>52</v>
      </c>
      <c r="G11" s="99">
        <f>F11/E11</f>
        <v>0.65822784810126578</v>
      </c>
      <c r="H11" s="59"/>
    </row>
    <row r="12" spans="1:8" x14ac:dyDescent="0.2">
      <c r="A12" s="13" t="s">
        <v>10</v>
      </c>
      <c r="B12" s="13" t="s">
        <v>212</v>
      </c>
      <c r="C12" s="100">
        <f>C14+C15</f>
        <v>12702</v>
      </c>
      <c r="D12" s="100">
        <f>D14+D15</f>
        <v>1335</v>
      </c>
      <c r="E12" s="100">
        <f>E14+E15</f>
        <v>682</v>
      </c>
      <c r="F12" s="98">
        <f>F14+F15</f>
        <v>244</v>
      </c>
      <c r="G12" s="99">
        <f>F12/E12</f>
        <v>0.35777126099706746</v>
      </c>
      <c r="H12" s="59"/>
    </row>
    <row r="13" spans="1:8" x14ac:dyDescent="0.2">
      <c r="A13" s="30" t="s">
        <v>11</v>
      </c>
      <c r="B13" s="30" t="s">
        <v>11</v>
      </c>
      <c r="C13" s="102">
        <f>C12/C7</f>
        <v>0.56072043437955232</v>
      </c>
      <c r="D13" s="102">
        <f>D12/D7</f>
        <v>0.57518311072813444</v>
      </c>
      <c r="E13" s="102">
        <f>E12/E7</f>
        <v>0.60088105726872243</v>
      </c>
      <c r="F13" s="99">
        <f>F12/F7</f>
        <v>0.55963302752293576</v>
      </c>
      <c r="G13" s="99" t="s">
        <v>19</v>
      </c>
      <c r="H13" s="59"/>
    </row>
    <row r="14" spans="1:8" x14ac:dyDescent="0.2">
      <c r="A14" s="29" t="s">
        <v>12</v>
      </c>
      <c r="B14" s="29" t="s">
        <v>271</v>
      </c>
      <c r="C14" s="100">
        <v>10246</v>
      </c>
      <c r="D14" s="100">
        <v>1064</v>
      </c>
      <c r="E14" s="100">
        <v>534</v>
      </c>
      <c r="F14" s="98">
        <v>192</v>
      </c>
      <c r="G14" s="99">
        <f>F14/E14</f>
        <v>0.3595505617977528</v>
      </c>
      <c r="H14" s="59"/>
    </row>
    <row r="15" spans="1:8" x14ac:dyDescent="0.2">
      <c r="A15" s="29" t="s">
        <v>13</v>
      </c>
      <c r="B15" s="29" t="s">
        <v>272</v>
      </c>
      <c r="C15" s="100">
        <v>2456</v>
      </c>
      <c r="D15" s="100">
        <v>271</v>
      </c>
      <c r="E15" s="100">
        <v>148</v>
      </c>
      <c r="F15" s="98">
        <v>52</v>
      </c>
      <c r="G15" s="99">
        <f>F15/E15</f>
        <v>0.35135135135135137</v>
      </c>
      <c r="H15" s="59"/>
    </row>
    <row r="16" spans="1:8" x14ac:dyDescent="0.2">
      <c r="A16" s="11" t="s">
        <v>18</v>
      </c>
      <c r="B16" s="11" t="s">
        <v>273</v>
      </c>
      <c r="C16" s="96">
        <f>C17+C21</f>
        <v>21390</v>
      </c>
      <c r="D16" s="96">
        <f>D17+D21</f>
        <v>2223</v>
      </c>
      <c r="E16" s="96">
        <f>E17+E21</f>
        <v>1081</v>
      </c>
      <c r="F16" s="96">
        <f>F17+F21</f>
        <v>415</v>
      </c>
      <c r="G16" s="97">
        <f>F16/E16</f>
        <v>0.38390379278445885</v>
      </c>
      <c r="H16" s="59"/>
    </row>
    <row r="17" spans="1:8" x14ac:dyDescent="0.2">
      <c r="A17" s="13" t="s">
        <v>7</v>
      </c>
      <c r="B17" s="13" t="s">
        <v>211</v>
      </c>
      <c r="C17" s="100">
        <f>C19+C20</f>
        <v>13845</v>
      </c>
      <c r="D17" s="100">
        <f>D19+D20</f>
        <v>1540</v>
      </c>
      <c r="E17" s="98">
        <f>E19+E20</f>
        <v>738</v>
      </c>
      <c r="F17" s="98">
        <f>F19+F20</f>
        <v>269</v>
      </c>
      <c r="G17" s="99">
        <f>F17/E17</f>
        <v>0.36449864498644985</v>
      </c>
      <c r="H17" s="59"/>
    </row>
    <row r="18" spans="1:8" x14ac:dyDescent="0.2">
      <c r="A18" s="30" t="s">
        <v>11</v>
      </c>
      <c r="B18" s="30" t="s">
        <v>11</v>
      </c>
      <c r="C18" s="102">
        <f>C17/C16</f>
        <v>0.64726507713884995</v>
      </c>
      <c r="D18" s="102">
        <f>D17/D16</f>
        <v>0.69275753486279801</v>
      </c>
      <c r="E18" s="99">
        <f>E17/E16</f>
        <v>0.68270120259019429</v>
      </c>
      <c r="F18" s="99">
        <f>F17/F16</f>
        <v>0.64819277108433737</v>
      </c>
      <c r="G18" s="99" t="s">
        <v>19</v>
      </c>
      <c r="H18" s="59"/>
    </row>
    <row r="19" spans="1:8" x14ac:dyDescent="0.2">
      <c r="A19" s="29" t="s">
        <v>8</v>
      </c>
      <c r="B19" s="29" t="s">
        <v>269</v>
      </c>
      <c r="C19" s="100">
        <v>10985</v>
      </c>
      <c r="D19" s="100">
        <v>1248</v>
      </c>
      <c r="E19" s="98">
        <v>584</v>
      </c>
      <c r="F19" s="98">
        <v>202</v>
      </c>
      <c r="G19" s="99">
        <f>F19/E19</f>
        <v>0.3458904109589041</v>
      </c>
      <c r="H19" s="59"/>
    </row>
    <row r="20" spans="1:8" x14ac:dyDescent="0.2">
      <c r="A20" s="29" t="s">
        <v>9</v>
      </c>
      <c r="B20" s="29" t="s">
        <v>270</v>
      </c>
      <c r="C20" s="100">
        <v>2860</v>
      </c>
      <c r="D20" s="100">
        <v>292</v>
      </c>
      <c r="E20" s="98">
        <v>154</v>
      </c>
      <c r="F20" s="98">
        <v>67</v>
      </c>
      <c r="G20" s="99">
        <f>F20/E20</f>
        <v>0.43506493506493504</v>
      </c>
      <c r="H20" s="59"/>
    </row>
    <row r="21" spans="1:8" x14ac:dyDescent="0.2">
      <c r="A21" s="13" t="s">
        <v>10</v>
      </c>
      <c r="B21" s="13" t="s">
        <v>212</v>
      </c>
      <c r="C21" s="98">
        <f>C23+C24</f>
        <v>7545</v>
      </c>
      <c r="D21" s="98">
        <f>D23+D24</f>
        <v>683</v>
      </c>
      <c r="E21" s="98">
        <f>E23+E24</f>
        <v>343</v>
      </c>
      <c r="F21" s="98">
        <f>F23+F24</f>
        <v>146</v>
      </c>
      <c r="G21" s="99">
        <f>F21/E21</f>
        <v>0.42565597667638483</v>
      </c>
      <c r="H21" s="59"/>
    </row>
    <row r="22" spans="1:8" x14ac:dyDescent="0.2">
      <c r="A22" s="30" t="s">
        <v>11</v>
      </c>
      <c r="B22" s="30" t="s">
        <v>11</v>
      </c>
      <c r="C22" s="99">
        <f>C21/C16</f>
        <v>0.35273492286115005</v>
      </c>
      <c r="D22" s="99">
        <f>D21/D16</f>
        <v>0.30724246513720199</v>
      </c>
      <c r="E22" s="99">
        <f>E21/E16</f>
        <v>0.31729879740980571</v>
      </c>
      <c r="F22" s="99">
        <f>F21/F16</f>
        <v>0.35180722891566263</v>
      </c>
      <c r="G22" s="99" t="s">
        <v>19</v>
      </c>
      <c r="H22" s="59"/>
    </row>
    <row r="23" spans="1:8" x14ac:dyDescent="0.2">
      <c r="A23" s="29" t="s">
        <v>12</v>
      </c>
      <c r="B23" s="29" t="s">
        <v>271</v>
      </c>
      <c r="C23" s="98">
        <v>5587</v>
      </c>
      <c r="D23" s="98">
        <v>507</v>
      </c>
      <c r="E23" s="98">
        <v>255</v>
      </c>
      <c r="F23" s="98">
        <v>102</v>
      </c>
      <c r="G23" s="99">
        <f>F23/E23</f>
        <v>0.4</v>
      </c>
      <c r="H23" s="59"/>
    </row>
    <row r="24" spans="1:8" x14ac:dyDescent="0.2">
      <c r="A24" s="29" t="s">
        <v>13</v>
      </c>
      <c r="B24" s="29" t="s">
        <v>272</v>
      </c>
      <c r="C24" s="98">
        <v>1958</v>
      </c>
      <c r="D24" s="98">
        <v>176</v>
      </c>
      <c r="E24" s="98">
        <v>88</v>
      </c>
      <c r="F24" s="98">
        <v>44</v>
      </c>
      <c r="G24" s="99">
        <f>F24/E24</f>
        <v>0.5</v>
      </c>
      <c r="H24" s="59"/>
    </row>
    <row r="25" spans="1:8" x14ac:dyDescent="0.2">
      <c r="A25" s="2" t="s">
        <v>34</v>
      </c>
      <c r="B25" s="2"/>
      <c r="C25" s="82"/>
      <c r="D25" s="72"/>
      <c r="E25" s="72"/>
      <c r="F25" s="72"/>
      <c r="G25" s="72"/>
      <c r="H25" s="59"/>
    </row>
    <row r="26" spans="1:8" x14ac:dyDescent="0.2">
      <c r="A26" s="2" t="s">
        <v>82</v>
      </c>
      <c r="B26" s="2"/>
      <c r="C26" s="59"/>
      <c r="D26" s="59"/>
      <c r="E26" s="59"/>
      <c r="F26" s="59"/>
      <c r="G26" s="59"/>
      <c r="H26" s="59"/>
    </row>
    <row r="27" spans="1:8" x14ac:dyDescent="0.2">
      <c r="C27" s="59"/>
      <c r="D27" s="59"/>
      <c r="E27" s="59"/>
      <c r="F27" s="59"/>
      <c r="G27" s="59"/>
      <c r="H27" s="59"/>
    </row>
    <row r="28" spans="1:8" x14ac:dyDescent="0.2">
      <c r="C28" s="59"/>
      <c r="D28" s="59"/>
      <c r="E28" s="59"/>
      <c r="F28" s="59"/>
      <c r="G28" s="59"/>
      <c r="H28" s="59"/>
    </row>
    <row r="36" spans="1:2" x14ac:dyDescent="0.2">
      <c r="A36" s="12"/>
      <c r="B36" s="12"/>
    </row>
  </sheetData>
  <pageMargins left="0.75" right="0.57999999999999996" top="0.9" bottom="1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N34"/>
  <sheetViews>
    <sheetView workbookViewId="0">
      <selection activeCell="A3" sqref="A3"/>
    </sheetView>
  </sheetViews>
  <sheetFormatPr baseColWidth="10" defaultRowHeight="12.75" x14ac:dyDescent="0.2"/>
  <cols>
    <col min="1" max="2" width="15.7109375" style="1" customWidth="1"/>
    <col min="3" max="14" width="11.42578125" style="1" customWidth="1"/>
    <col min="15" max="16384" width="11.42578125" style="1"/>
  </cols>
  <sheetData>
    <row r="1" spans="1:14" x14ac:dyDescent="0.2">
      <c r="A1" s="5" t="s">
        <v>96</v>
      </c>
      <c r="B1" s="5"/>
    </row>
    <row r="2" spans="1:14" x14ac:dyDescent="0.2">
      <c r="A2" s="24" t="s">
        <v>98</v>
      </c>
      <c r="B2" s="24"/>
    </row>
    <row r="4" spans="1:14" ht="19.5" customHeight="1" x14ac:dyDescent="0.2">
      <c r="A4" s="10"/>
      <c r="B4" s="10"/>
      <c r="C4" s="116">
        <v>2019</v>
      </c>
      <c r="D4" s="116"/>
      <c r="E4" s="116"/>
      <c r="F4" s="116">
        <v>2020</v>
      </c>
      <c r="G4" s="116"/>
      <c r="H4" s="116"/>
      <c r="I4" s="116">
        <v>2021</v>
      </c>
      <c r="J4" s="116"/>
      <c r="K4" s="116"/>
      <c r="L4" s="116">
        <v>2022</v>
      </c>
      <c r="M4" s="116"/>
      <c r="N4" s="116"/>
    </row>
    <row r="5" spans="1:14" ht="27" customHeight="1" x14ac:dyDescent="0.2">
      <c r="A5" s="10"/>
      <c r="B5" s="10"/>
      <c r="C5" s="10" t="s">
        <v>2</v>
      </c>
      <c r="D5" s="10" t="s">
        <v>188</v>
      </c>
      <c r="E5" s="10" t="s">
        <v>22</v>
      </c>
      <c r="F5" s="10" t="s">
        <v>2</v>
      </c>
      <c r="G5" s="10" t="s">
        <v>188</v>
      </c>
      <c r="H5" s="10" t="s">
        <v>22</v>
      </c>
      <c r="I5" s="10" t="s">
        <v>2</v>
      </c>
      <c r="J5" s="10" t="s">
        <v>188</v>
      </c>
      <c r="K5" s="10" t="s">
        <v>22</v>
      </c>
      <c r="L5" s="10" t="s">
        <v>2</v>
      </c>
      <c r="M5" s="10" t="s">
        <v>188</v>
      </c>
      <c r="N5" s="10" t="s">
        <v>22</v>
      </c>
    </row>
    <row r="6" spans="1:14" ht="27" customHeight="1" x14ac:dyDescent="0.2">
      <c r="A6" s="10"/>
      <c r="B6" s="10"/>
      <c r="C6" s="10" t="s">
        <v>187</v>
      </c>
      <c r="D6" s="10" t="s">
        <v>189</v>
      </c>
      <c r="E6" s="10" t="s">
        <v>190</v>
      </c>
      <c r="F6" s="10" t="s">
        <v>187</v>
      </c>
      <c r="G6" s="10" t="s">
        <v>189</v>
      </c>
      <c r="H6" s="10" t="s">
        <v>190</v>
      </c>
      <c r="I6" s="10" t="s">
        <v>187</v>
      </c>
      <c r="J6" s="10" t="s">
        <v>189</v>
      </c>
      <c r="K6" s="10" t="s">
        <v>190</v>
      </c>
      <c r="L6" s="10" t="s">
        <v>187</v>
      </c>
      <c r="M6" s="10" t="s">
        <v>189</v>
      </c>
      <c r="N6" s="10" t="s">
        <v>190</v>
      </c>
    </row>
    <row r="7" spans="1:14" s="15" customFormat="1" x14ac:dyDescent="0.2">
      <c r="A7" s="26" t="s">
        <v>6</v>
      </c>
      <c r="B7" s="26" t="s">
        <v>6</v>
      </c>
      <c r="C7" s="83">
        <f t="shared" ref="C7:H7" si="0">SUM(C8:C19)</f>
        <v>68714</v>
      </c>
      <c r="D7" s="83">
        <f t="shared" si="0"/>
        <v>8339</v>
      </c>
      <c r="E7" s="83">
        <f t="shared" si="0"/>
        <v>4523</v>
      </c>
      <c r="F7" s="83">
        <f t="shared" si="0"/>
        <v>79201</v>
      </c>
      <c r="G7" s="83">
        <f t="shared" si="0"/>
        <v>9433</v>
      </c>
      <c r="H7" s="83">
        <f t="shared" si="0"/>
        <v>4958</v>
      </c>
      <c r="I7" s="83">
        <f t="shared" ref="I7:N7" si="1">SUM(I8:I19)</f>
        <v>87307</v>
      </c>
      <c r="J7" s="83">
        <f t="shared" si="1"/>
        <v>10757</v>
      </c>
      <c r="K7" s="83">
        <f t="shared" si="1"/>
        <v>5681</v>
      </c>
      <c r="L7" s="83">
        <f t="shared" si="1"/>
        <v>102391</v>
      </c>
      <c r="M7" s="83">
        <f t="shared" si="1"/>
        <v>10405</v>
      </c>
      <c r="N7" s="83">
        <f t="shared" si="1"/>
        <v>5356</v>
      </c>
    </row>
    <row r="8" spans="1:14" x14ac:dyDescent="0.2">
      <c r="A8" s="27" t="s">
        <v>37</v>
      </c>
      <c r="B8" s="27" t="s">
        <v>277</v>
      </c>
      <c r="C8" s="84">
        <v>5290</v>
      </c>
      <c r="D8" s="84">
        <v>602</v>
      </c>
      <c r="E8" s="84">
        <v>318</v>
      </c>
      <c r="F8" s="84">
        <v>5483</v>
      </c>
      <c r="G8" s="84">
        <v>727</v>
      </c>
      <c r="H8" s="84">
        <v>383</v>
      </c>
      <c r="I8" s="84">
        <v>4829</v>
      </c>
      <c r="J8" s="84">
        <v>605</v>
      </c>
      <c r="K8" s="84">
        <v>301</v>
      </c>
      <c r="L8" s="84">
        <v>6542</v>
      </c>
      <c r="M8" s="84">
        <v>758</v>
      </c>
      <c r="N8" s="84">
        <v>391</v>
      </c>
    </row>
    <row r="9" spans="1:14" x14ac:dyDescent="0.2">
      <c r="A9" s="27" t="s">
        <v>23</v>
      </c>
      <c r="B9" s="27" t="s">
        <v>278</v>
      </c>
      <c r="C9" s="84">
        <v>4911</v>
      </c>
      <c r="D9" s="84">
        <v>486</v>
      </c>
      <c r="E9" s="84">
        <v>283</v>
      </c>
      <c r="F9" s="84">
        <v>5194</v>
      </c>
      <c r="G9" s="84">
        <v>640</v>
      </c>
      <c r="H9" s="84">
        <v>317</v>
      </c>
      <c r="I9" s="84">
        <v>4475</v>
      </c>
      <c r="J9" s="84">
        <v>625</v>
      </c>
      <c r="K9" s="84">
        <v>339</v>
      </c>
      <c r="L9" s="84">
        <v>7486</v>
      </c>
      <c r="M9" s="84">
        <v>730</v>
      </c>
      <c r="N9" s="84">
        <v>370</v>
      </c>
    </row>
    <row r="10" spans="1:14" x14ac:dyDescent="0.2">
      <c r="A10" s="27" t="s">
        <v>24</v>
      </c>
      <c r="B10" s="27" t="s">
        <v>279</v>
      </c>
      <c r="C10" s="84">
        <v>5672</v>
      </c>
      <c r="D10" s="84">
        <v>694</v>
      </c>
      <c r="E10" s="84">
        <v>423</v>
      </c>
      <c r="F10" s="84">
        <v>6273</v>
      </c>
      <c r="G10" s="84">
        <v>716</v>
      </c>
      <c r="H10" s="84">
        <v>402</v>
      </c>
      <c r="I10" s="84">
        <v>7213</v>
      </c>
      <c r="J10" s="84">
        <v>948</v>
      </c>
      <c r="K10" s="84">
        <v>536</v>
      </c>
      <c r="L10" s="84">
        <v>8568</v>
      </c>
      <c r="M10" s="84">
        <v>864</v>
      </c>
      <c r="N10" s="84">
        <v>431</v>
      </c>
    </row>
    <row r="11" spans="1:14" x14ac:dyDescent="0.2">
      <c r="A11" s="27" t="s">
        <v>25</v>
      </c>
      <c r="B11" s="27" t="s">
        <v>25</v>
      </c>
      <c r="C11" s="84">
        <v>5396</v>
      </c>
      <c r="D11" s="84">
        <v>605</v>
      </c>
      <c r="E11" s="84">
        <v>339</v>
      </c>
      <c r="F11" s="84">
        <v>8692</v>
      </c>
      <c r="G11" s="84">
        <v>1098</v>
      </c>
      <c r="H11" s="84">
        <v>594</v>
      </c>
      <c r="I11" s="84">
        <v>8047</v>
      </c>
      <c r="J11" s="84">
        <v>943</v>
      </c>
      <c r="K11" s="84">
        <v>503</v>
      </c>
      <c r="L11" s="84">
        <v>8246</v>
      </c>
      <c r="M11" s="84">
        <v>853</v>
      </c>
      <c r="N11" s="84">
        <v>441</v>
      </c>
    </row>
    <row r="12" spans="1:14" x14ac:dyDescent="0.2">
      <c r="A12" s="27" t="s">
        <v>26</v>
      </c>
      <c r="B12" s="27" t="s">
        <v>280</v>
      </c>
      <c r="C12" s="84">
        <v>5967</v>
      </c>
      <c r="D12" s="84">
        <v>689</v>
      </c>
      <c r="E12" s="84">
        <v>411</v>
      </c>
      <c r="F12" s="84">
        <v>8414</v>
      </c>
      <c r="G12" s="84">
        <v>875</v>
      </c>
      <c r="H12" s="84">
        <v>462</v>
      </c>
      <c r="I12" s="84">
        <v>8239</v>
      </c>
      <c r="J12" s="84">
        <v>1063</v>
      </c>
      <c r="K12" s="84">
        <v>592</v>
      </c>
      <c r="L12" s="84">
        <v>8851</v>
      </c>
      <c r="M12" s="84">
        <v>893</v>
      </c>
      <c r="N12" s="84">
        <v>457</v>
      </c>
    </row>
    <row r="13" spans="1:14" x14ac:dyDescent="0.2">
      <c r="A13" s="27" t="s">
        <v>27</v>
      </c>
      <c r="B13" s="27" t="s">
        <v>281</v>
      </c>
      <c r="C13" s="84">
        <v>5922</v>
      </c>
      <c r="D13" s="84">
        <v>692</v>
      </c>
      <c r="E13" s="84">
        <v>372</v>
      </c>
      <c r="F13" s="84">
        <v>8561</v>
      </c>
      <c r="G13" s="84">
        <v>968</v>
      </c>
      <c r="H13" s="84">
        <v>494</v>
      </c>
      <c r="I13" s="84">
        <v>9049</v>
      </c>
      <c r="J13" s="84">
        <v>1060</v>
      </c>
      <c r="K13" s="84">
        <v>597</v>
      </c>
      <c r="L13" s="84">
        <v>9395</v>
      </c>
      <c r="M13" s="84">
        <v>918</v>
      </c>
      <c r="N13" s="84">
        <v>474</v>
      </c>
    </row>
    <row r="14" spans="1:14" x14ac:dyDescent="0.2">
      <c r="A14" s="27" t="s">
        <v>28</v>
      </c>
      <c r="B14" s="27" t="s">
        <v>282</v>
      </c>
      <c r="C14" s="84">
        <v>6254</v>
      </c>
      <c r="D14" s="84">
        <v>818</v>
      </c>
      <c r="E14" s="84">
        <v>419</v>
      </c>
      <c r="F14" s="84">
        <v>7937</v>
      </c>
      <c r="G14" s="84">
        <v>977</v>
      </c>
      <c r="H14" s="84">
        <v>508</v>
      </c>
      <c r="I14" s="84">
        <v>8246</v>
      </c>
      <c r="J14" s="84">
        <v>942</v>
      </c>
      <c r="K14" s="84">
        <v>502</v>
      </c>
      <c r="L14" s="84">
        <v>9557</v>
      </c>
      <c r="M14" s="84">
        <v>946</v>
      </c>
      <c r="N14" s="84">
        <v>440</v>
      </c>
    </row>
    <row r="15" spans="1:14" x14ac:dyDescent="0.2">
      <c r="A15" s="27" t="s">
        <v>29</v>
      </c>
      <c r="B15" s="27" t="s">
        <v>283</v>
      </c>
      <c r="C15" s="84">
        <v>6222</v>
      </c>
      <c r="D15" s="84">
        <v>756</v>
      </c>
      <c r="E15" s="84">
        <v>393</v>
      </c>
      <c r="F15" s="84">
        <v>7231</v>
      </c>
      <c r="G15" s="84">
        <v>915</v>
      </c>
      <c r="H15" s="84">
        <v>449</v>
      </c>
      <c r="I15" s="84">
        <v>7782</v>
      </c>
      <c r="J15" s="84">
        <v>932</v>
      </c>
      <c r="K15" s="84">
        <v>481</v>
      </c>
      <c r="L15" s="84">
        <v>10415</v>
      </c>
      <c r="M15" s="84">
        <v>1039</v>
      </c>
      <c r="N15" s="84">
        <v>534</v>
      </c>
    </row>
    <row r="16" spans="1:14" x14ac:dyDescent="0.2">
      <c r="A16" s="27" t="s">
        <v>30</v>
      </c>
      <c r="B16" s="27" t="s">
        <v>284</v>
      </c>
      <c r="C16" s="84">
        <v>5639</v>
      </c>
      <c r="D16" s="84">
        <v>752</v>
      </c>
      <c r="E16" s="84">
        <v>413</v>
      </c>
      <c r="F16" s="84">
        <v>5967</v>
      </c>
      <c r="G16" s="84">
        <v>692</v>
      </c>
      <c r="H16" s="84">
        <v>375</v>
      </c>
      <c r="I16" s="84">
        <v>7362</v>
      </c>
      <c r="J16" s="84">
        <v>1024</v>
      </c>
      <c r="K16" s="84">
        <v>558</v>
      </c>
      <c r="L16" s="84">
        <v>9086</v>
      </c>
      <c r="M16" s="84">
        <v>970</v>
      </c>
      <c r="N16" s="84">
        <v>504</v>
      </c>
    </row>
    <row r="17" spans="1:14" x14ac:dyDescent="0.2">
      <c r="A17" s="27" t="s">
        <v>33</v>
      </c>
      <c r="B17" s="27" t="s">
        <v>33</v>
      </c>
      <c r="C17" s="84">
        <v>5819</v>
      </c>
      <c r="D17" s="84">
        <v>756</v>
      </c>
      <c r="E17" s="84">
        <v>375</v>
      </c>
      <c r="F17" s="84">
        <v>5194</v>
      </c>
      <c r="G17" s="84">
        <v>632</v>
      </c>
      <c r="H17" s="84">
        <v>329</v>
      </c>
      <c r="I17" s="84">
        <v>7680</v>
      </c>
      <c r="J17" s="84">
        <v>896</v>
      </c>
      <c r="K17" s="84">
        <v>439</v>
      </c>
      <c r="L17" s="84">
        <v>7947</v>
      </c>
      <c r="M17" s="84">
        <v>861</v>
      </c>
      <c r="N17" s="84">
        <v>445</v>
      </c>
    </row>
    <row r="18" spans="1:14" x14ac:dyDescent="0.2">
      <c r="A18" s="27" t="s">
        <v>31</v>
      </c>
      <c r="B18" s="27" t="s">
        <v>285</v>
      </c>
      <c r="C18" s="84">
        <v>5989</v>
      </c>
      <c r="D18" s="84">
        <v>731</v>
      </c>
      <c r="E18" s="84">
        <v>385</v>
      </c>
      <c r="F18" s="84">
        <v>4957</v>
      </c>
      <c r="G18" s="84">
        <v>583</v>
      </c>
      <c r="H18" s="84">
        <v>322</v>
      </c>
      <c r="I18" s="84">
        <v>7274</v>
      </c>
      <c r="J18" s="84">
        <v>946</v>
      </c>
      <c r="K18" s="84">
        <v>446</v>
      </c>
      <c r="L18" s="84">
        <v>7831</v>
      </c>
      <c r="M18" s="84">
        <v>801</v>
      </c>
      <c r="N18" s="84">
        <v>425</v>
      </c>
    </row>
    <row r="19" spans="1:14" x14ac:dyDescent="0.2">
      <c r="A19" s="27" t="s">
        <v>32</v>
      </c>
      <c r="B19" s="27" t="s">
        <v>286</v>
      </c>
      <c r="C19" s="84">
        <v>5633</v>
      </c>
      <c r="D19" s="84">
        <v>758</v>
      </c>
      <c r="E19" s="84">
        <v>392</v>
      </c>
      <c r="F19" s="84">
        <v>5298</v>
      </c>
      <c r="G19" s="84">
        <v>610</v>
      </c>
      <c r="H19" s="84">
        <v>323</v>
      </c>
      <c r="I19" s="84">
        <v>7111</v>
      </c>
      <c r="J19" s="84">
        <v>773</v>
      </c>
      <c r="K19" s="84">
        <v>387</v>
      </c>
      <c r="L19" s="84">
        <v>8467</v>
      </c>
      <c r="M19" s="84">
        <v>772</v>
      </c>
      <c r="N19" s="84">
        <v>444</v>
      </c>
    </row>
    <row r="20" spans="1:14" x14ac:dyDescent="0.2">
      <c r="A20" s="2" t="s">
        <v>289</v>
      </c>
      <c r="B20" s="2"/>
      <c r="I20" s="59"/>
      <c r="J20" s="59"/>
    </row>
    <row r="21" spans="1:14" x14ac:dyDescent="0.2">
      <c r="A21" s="2" t="s">
        <v>274</v>
      </c>
      <c r="B21" s="2"/>
      <c r="I21" s="59"/>
      <c r="J21" s="59"/>
    </row>
    <row r="22" spans="1:14" x14ac:dyDescent="0.2">
      <c r="I22" s="59"/>
      <c r="J22" s="59"/>
    </row>
    <row r="23" spans="1:14" x14ac:dyDescent="0.2">
      <c r="I23" s="59"/>
      <c r="J23" s="59"/>
    </row>
    <row r="24" spans="1:14" x14ac:dyDescent="0.2">
      <c r="I24" s="59"/>
      <c r="J24" s="59"/>
    </row>
    <row r="25" spans="1:14" x14ac:dyDescent="0.2">
      <c r="I25" s="59"/>
      <c r="J25" s="59"/>
    </row>
    <row r="26" spans="1:14" x14ac:dyDescent="0.2">
      <c r="I26" s="59"/>
      <c r="J26" s="59"/>
    </row>
    <row r="27" spans="1:14" x14ac:dyDescent="0.2">
      <c r="I27" s="59"/>
      <c r="J27" s="59"/>
    </row>
    <row r="28" spans="1:14" x14ac:dyDescent="0.2">
      <c r="I28" s="59"/>
      <c r="J28" s="59"/>
    </row>
    <row r="29" spans="1:14" x14ac:dyDescent="0.2">
      <c r="I29" s="59"/>
      <c r="J29" s="59"/>
    </row>
    <row r="30" spans="1:14" x14ac:dyDescent="0.2">
      <c r="I30" s="59"/>
      <c r="J30" s="59"/>
    </row>
    <row r="31" spans="1:14" x14ac:dyDescent="0.2">
      <c r="I31" s="59"/>
      <c r="J31" s="59"/>
    </row>
    <row r="32" spans="1:14" x14ac:dyDescent="0.2">
      <c r="I32" s="80"/>
      <c r="J32" s="81"/>
    </row>
    <row r="33" spans="8:10" x14ac:dyDescent="0.2">
      <c r="I33" s="80"/>
      <c r="J33" s="81"/>
    </row>
    <row r="34" spans="8:10" x14ac:dyDescent="0.2">
      <c r="H34" s="45"/>
    </row>
  </sheetData>
  <mergeCells count="4">
    <mergeCell ref="C4:E4"/>
    <mergeCell ref="F4:H4"/>
    <mergeCell ref="I4:K4"/>
    <mergeCell ref="L4:N4"/>
  </mergeCells>
  <phoneticPr fontId="2" type="noConversion"/>
  <pageMargins left="0.76" right="0.75" top="0.71" bottom="0.68" header="0" footer="0"/>
  <pageSetup paperSize="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G23"/>
  <sheetViews>
    <sheetView workbookViewId="0">
      <selection activeCell="A3" sqref="A3"/>
    </sheetView>
  </sheetViews>
  <sheetFormatPr baseColWidth="10" defaultRowHeight="12.75" x14ac:dyDescent="0.2"/>
  <cols>
    <col min="1" max="2" width="32.7109375" style="1" customWidth="1"/>
    <col min="3" max="4" width="11.42578125" style="1" customWidth="1"/>
    <col min="5" max="16384" width="11.42578125" style="1"/>
  </cols>
  <sheetData>
    <row r="1" spans="1:7" x14ac:dyDescent="0.2">
      <c r="A1" s="31" t="s">
        <v>97</v>
      </c>
      <c r="B1" s="31"/>
    </row>
    <row r="2" spans="1:7" x14ac:dyDescent="0.2">
      <c r="A2" s="24" t="s">
        <v>99</v>
      </c>
      <c r="B2" s="24"/>
    </row>
    <row r="4" spans="1:7" ht="27" customHeight="1" x14ac:dyDescent="0.2">
      <c r="A4" s="10"/>
      <c r="B4" s="10"/>
      <c r="C4" s="10" t="s">
        <v>2</v>
      </c>
      <c r="D4" s="10" t="s">
        <v>188</v>
      </c>
      <c r="E4" s="10" t="s">
        <v>22</v>
      </c>
      <c r="F4" s="10" t="s">
        <v>4</v>
      </c>
      <c r="G4" s="59"/>
    </row>
    <row r="5" spans="1:7" ht="27" customHeight="1" x14ac:dyDescent="0.2">
      <c r="A5" s="10"/>
      <c r="B5" s="10"/>
      <c r="C5" s="10" t="s">
        <v>187</v>
      </c>
      <c r="D5" s="10" t="s">
        <v>189</v>
      </c>
      <c r="E5" s="10" t="s">
        <v>190</v>
      </c>
      <c r="F5" s="10" t="s">
        <v>4</v>
      </c>
      <c r="G5" s="59"/>
    </row>
    <row r="6" spans="1:7" s="15" customFormat="1" x14ac:dyDescent="0.2">
      <c r="A6" s="26">
        <v>2019</v>
      </c>
      <c r="B6" s="26">
        <v>2019</v>
      </c>
      <c r="C6" s="83">
        <f>SUM(C7:C8)</f>
        <v>56</v>
      </c>
      <c r="D6" s="83">
        <f>SUM(D7:D8)</f>
        <v>4</v>
      </c>
      <c r="E6" s="83">
        <f>SUM(E7:E8)</f>
        <v>0</v>
      </c>
      <c r="F6" s="83">
        <f>SUM(F7:F8)</f>
        <v>0</v>
      </c>
      <c r="G6" s="74"/>
    </row>
    <row r="7" spans="1:7" x14ac:dyDescent="0.2">
      <c r="A7" s="27" t="s">
        <v>287</v>
      </c>
      <c r="B7" s="27" t="s">
        <v>275</v>
      </c>
      <c r="C7" s="84">
        <v>4</v>
      </c>
      <c r="D7" s="84">
        <v>1</v>
      </c>
      <c r="E7" s="84">
        <v>0</v>
      </c>
      <c r="F7" s="38">
        <v>0</v>
      </c>
      <c r="G7" s="59"/>
    </row>
    <row r="8" spans="1:7" x14ac:dyDescent="0.2">
      <c r="A8" s="27" t="s">
        <v>288</v>
      </c>
      <c r="B8" s="27" t="s">
        <v>276</v>
      </c>
      <c r="C8" s="84">
        <v>52</v>
      </c>
      <c r="D8" s="84">
        <v>3</v>
      </c>
      <c r="E8" s="84">
        <v>0</v>
      </c>
      <c r="F8" s="38">
        <v>0</v>
      </c>
      <c r="G8" s="59"/>
    </row>
    <row r="9" spans="1:7" x14ac:dyDescent="0.2">
      <c r="A9" s="26">
        <v>2020</v>
      </c>
      <c r="B9" s="26">
        <v>2020</v>
      </c>
      <c r="C9" s="85">
        <f>SUM(C10:C11)</f>
        <v>50</v>
      </c>
      <c r="D9" s="85">
        <f>SUM(D10:D11)</f>
        <v>5</v>
      </c>
      <c r="E9" s="85">
        <f>SUM(E10:E11)</f>
        <v>3</v>
      </c>
      <c r="F9" s="85">
        <f>SUM(F10:F11)</f>
        <v>3</v>
      </c>
      <c r="G9" s="59"/>
    </row>
    <row r="10" spans="1:7" x14ac:dyDescent="0.2">
      <c r="A10" s="27" t="s">
        <v>287</v>
      </c>
      <c r="B10" s="27" t="s">
        <v>275</v>
      </c>
      <c r="C10" s="84">
        <v>2</v>
      </c>
      <c r="D10" s="84">
        <v>1</v>
      </c>
      <c r="E10" s="84">
        <v>0</v>
      </c>
      <c r="F10" s="38">
        <v>0</v>
      </c>
      <c r="G10" s="59"/>
    </row>
    <row r="11" spans="1:7" x14ac:dyDescent="0.2">
      <c r="A11" s="27" t="s">
        <v>288</v>
      </c>
      <c r="B11" s="27" t="s">
        <v>276</v>
      </c>
      <c r="C11" s="84">
        <v>48</v>
      </c>
      <c r="D11" s="84">
        <v>4</v>
      </c>
      <c r="E11" s="84">
        <v>3</v>
      </c>
      <c r="F11" s="38">
        <v>3</v>
      </c>
      <c r="G11" s="59"/>
    </row>
    <row r="12" spans="1:7" x14ac:dyDescent="0.2">
      <c r="A12" s="26">
        <v>2021</v>
      </c>
      <c r="B12" s="26">
        <v>2021</v>
      </c>
      <c r="C12" s="85">
        <f>SUM(C13:C14)</f>
        <v>49</v>
      </c>
      <c r="D12" s="85">
        <f>SUM(D13:D14)</f>
        <v>6</v>
      </c>
      <c r="E12" s="85">
        <f>SUM(E13:E14)</f>
        <v>3</v>
      </c>
      <c r="F12" s="85">
        <f>SUM(F13:F14)</f>
        <v>1</v>
      </c>
      <c r="G12" s="59"/>
    </row>
    <row r="13" spans="1:7" x14ac:dyDescent="0.2">
      <c r="A13" s="27" t="s">
        <v>287</v>
      </c>
      <c r="B13" s="27" t="s">
        <v>275</v>
      </c>
      <c r="C13" s="84">
        <v>6</v>
      </c>
      <c r="D13" s="84">
        <v>1</v>
      </c>
      <c r="E13" s="84">
        <v>1</v>
      </c>
      <c r="F13" s="38">
        <v>0</v>
      </c>
      <c r="G13" s="59"/>
    </row>
    <row r="14" spans="1:7" x14ac:dyDescent="0.2">
      <c r="A14" s="27" t="s">
        <v>288</v>
      </c>
      <c r="B14" s="27" t="s">
        <v>276</v>
      </c>
      <c r="C14" s="84">
        <v>43</v>
      </c>
      <c r="D14" s="84">
        <v>5</v>
      </c>
      <c r="E14" s="84">
        <v>2</v>
      </c>
      <c r="F14" s="38">
        <v>1</v>
      </c>
      <c r="G14" s="59"/>
    </row>
    <row r="15" spans="1:7" x14ac:dyDescent="0.2">
      <c r="A15" s="26">
        <v>2022</v>
      </c>
      <c r="B15" s="26">
        <v>2022</v>
      </c>
      <c r="C15" s="85">
        <f>SUM(C16:C17)</f>
        <v>49</v>
      </c>
      <c r="D15" s="85">
        <f>SUM(D16:D17)</f>
        <v>1</v>
      </c>
      <c r="E15" s="85">
        <f>SUM(E16:E17)</f>
        <v>0</v>
      </c>
      <c r="F15" s="85">
        <f>SUM(F16:F17)</f>
        <v>0</v>
      </c>
      <c r="G15" s="59"/>
    </row>
    <row r="16" spans="1:7" x14ac:dyDescent="0.2">
      <c r="A16" s="27" t="s">
        <v>287</v>
      </c>
      <c r="B16" s="27" t="s">
        <v>275</v>
      </c>
      <c r="C16" s="84">
        <v>5</v>
      </c>
      <c r="D16" s="84">
        <v>0</v>
      </c>
      <c r="E16" s="84">
        <v>0</v>
      </c>
      <c r="F16" s="38">
        <v>0</v>
      </c>
      <c r="G16" s="59"/>
    </row>
    <row r="17" spans="1:7" x14ac:dyDescent="0.2">
      <c r="A17" s="27" t="s">
        <v>288</v>
      </c>
      <c r="B17" s="27" t="s">
        <v>276</v>
      </c>
      <c r="C17" s="84">
        <v>44</v>
      </c>
      <c r="D17" s="84">
        <v>1</v>
      </c>
      <c r="E17" s="84">
        <v>0</v>
      </c>
      <c r="F17" s="38">
        <v>0</v>
      </c>
      <c r="G17" s="59"/>
    </row>
    <row r="18" spans="1:7" x14ac:dyDescent="0.2">
      <c r="A18" s="2" t="s">
        <v>34</v>
      </c>
      <c r="B18" s="2"/>
      <c r="C18" s="86"/>
      <c r="D18" s="59"/>
      <c r="E18" s="59"/>
      <c r="F18" s="59"/>
      <c r="G18" s="59"/>
    </row>
    <row r="19" spans="1:7" x14ac:dyDescent="0.2">
      <c r="A19" s="2" t="s">
        <v>82</v>
      </c>
      <c r="B19" s="2"/>
      <c r="C19" s="59"/>
      <c r="D19" s="59"/>
      <c r="E19" s="59"/>
      <c r="F19" s="86"/>
      <c r="G19" s="59"/>
    </row>
    <row r="20" spans="1:7" x14ac:dyDescent="0.2">
      <c r="F20" s="18"/>
    </row>
    <row r="21" spans="1:7" x14ac:dyDescent="0.2">
      <c r="F21" s="18"/>
    </row>
    <row r="22" spans="1:7" x14ac:dyDescent="0.2">
      <c r="F22" s="18"/>
    </row>
    <row r="23" spans="1:7" x14ac:dyDescent="0.2">
      <c r="F23" s="18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workbookViewId="0">
      <selection activeCell="A3" sqref="A3"/>
    </sheetView>
  </sheetViews>
  <sheetFormatPr baseColWidth="10" defaultRowHeight="12.75" x14ac:dyDescent="0.2"/>
  <cols>
    <col min="1" max="2" width="35.7109375" style="1" customWidth="1"/>
    <col min="3" max="10" width="11.42578125" style="1" customWidth="1"/>
    <col min="11" max="16384" width="11.42578125" style="1"/>
  </cols>
  <sheetData>
    <row r="1" spans="1:10" x14ac:dyDescent="0.2">
      <c r="A1" s="5" t="s">
        <v>192</v>
      </c>
      <c r="B1" s="5"/>
    </row>
    <row r="2" spans="1:10" x14ac:dyDescent="0.2">
      <c r="A2" s="24" t="s">
        <v>113</v>
      </c>
      <c r="B2" s="24"/>
    </row>
    <row r="4" spans="1:10" s="28" customFormat="1" ht="27" customHeight="1" x14ac:dyDescent="0.2">
      <c r="A4" s="20"/>
      <c r="B4" s="20"/>
      <c r="C4" s="10" t="s">
        <v>2</v>
      </c>
      <c r="D4" s="10"/>
      <c r="E4" s="10" t="s">
        <v>188</v>
      </c>
      <c r="F4" s="10"/>
      <c r="G4" s="10" t="s">
        <v>22</v>
      </c>
      <c r="H4" s="10"/>
      <c r="I4" s="10" t="s">
        <v>4</v>
      </c>
      <c r="J4" s="10"/>
    </row>
    <row r="5" spans="1:10" s="28" customFormat="1" ht="27" customHeight="1" x14ac:dyDescent="0.2">
      <c r="A5" s="20"/>
      <c r="B5" s="20"/>
      <c r="C5" s="10" t="s">
        <v>187</v>
      </c>
      <c r="D5" s="10" t="s">
        <v>11</v>
      </c>
      <c r="E5" s="10" t="s">
        <v>189</v>
      </c>
      <c r="F5" s="10" t="s">
        <v>11</v>
      </c>
      <c r="G5" s="10" t="s">
        <v>190</v>
      </c>
      <c r="H5" s="10" t="s">
        <v>11</v>
      </c>
      <c r="I5" s="10" t="s">
        <v>4</v>
      </c>
      <c r="J5" s="10" t="s">
        <v>11</v>
      </c>
    </row>
    <row r="6" spans="1:10" x14ac:dyDescent="0.2">
      <c r="A6" s="5" t="s">
        <v>14</v>
      </c>
      <c r="B6" s="5" t="s">
        <v>172</v>
      </c>
      <c r="C6" s="48">
        <v>168057</v>
      </c>
      <c r="D6" s="68">
        <f>C6/C$6</f>
        <v>1</v>
      </c>
      <c r="E6" s="48">
        <v>23932</v>
      </c>
      <c r="F6" s="68">
        <f>E6/E$6</f>
        <v>1</v>
      </c>
      <c r="G6" s="48">
        <v>12583</v>
      </c>
      <c r="H6" s="68">
        <f>G6/G$6</f>
        <v>1</v>
      </c>
      <c r="I6" s="50">
        <v>5777</v>
      </c>
      <c r="J6" s="65">
        <f>I6/I$6</f>
        <v>1</v>
      </c>
    </row>
    <row r="7" spans="1:10" x14ac:dyDescent="0.2">
      <c r="A7" s="27" t="s">
        <v>164</v>
      </c>
      <c r="B7" s="27" t="s">
        <v>173</v>
      </c>
      <c r="C7" s="52">
        <v>3686</v>
      </c>
      <c r="D7" s="53">
        <f t="shared" ref="D7:D13" si="0">C7/C$6</f>
        <v>2.1933034625156941E-2</v>
      </c>
      <c r="E7" s="52">
        <v>566</v>
      </c>
      <c r="F7" s="53">
        <f t="shared" ref="F7:F13" si="1">E7/E$6</f>
        <v>2.365034263747284E-2</v>
      </c>
      <c r="G7" s="52">
        <v>463</v>
      </c>
      <c r="H7" s="53">
        <f t="shared" ref="H7:H13" si="2">G7/G$6</f>
        <v>3.6795676706667724E-2</v>
      </c>
      <c r="I7" s="54">
        <v>81</v>
      </c>
      <c r="J7" s="55">
        <f t="shared" ref="J7:J13" si="3">I7/I$6</f>
        <v>1.4021118227453696E-2</v>
      </c>
    </row>
    <row r="8" spans="1:10" x14ac:dyDescent="0.2">
      <c r="A8" s="27" t="s">
        <v>165</v>
      </c>
      <c r="B8" s="27" t="s">
        <v>174</v>
      </c>
      <c r="C8" s="52">
        <v>405</v>
      </c>
      <c r="D8" s="53">
        <f t="shared" si="0"/>
        <v>2.4098966422106786E-3</v>
      </c>
      <c r="E8" s="52">
        <v>79</v>
      </c>
      <c r="F8" s="53">
        <f t="shared" si="1"/>
        <v>3.3010195554069865E-3</v>
      </c>
      <c r="G8" s="52">
        <v>54</v>
      </c>
      <c r="H8" s="53">
        <f t="shared" si="2"/>
        <v>4.2915044107128663E-3</v>
      </c>
      <c r="I8" s="54">
        <v>27</v>
      </c>
      <c r="J8" s="55">
        <f t="shared" si="3"/>
        <v>4.6737060758178985E-3</v>
      </c>
    </row>
    <row r="9" spans="1:10" x14ac:dyDescent="0.2">
      <c r="A9" s="27" t="s">
        <v>175</v>
      </c>
      <c r="B9" s="27" t="s">
        <v>176</v>
      </c>
      <c r="C9" s="52">
        <v>118229</v>
      </c>
      <c r="D9" s="53">
        <f t="shared" si="0"/>
        <v>0.70350535830105265</v>
      </c>
      <c r="E9" s="52">
        <v>15390</v>
      </c>
      <c r="F9" s="53">
        <f t="shared" si="1"/>
        <v>0.64307203743941166</v>
      </c>
      <c r="G9" s="52">
        <v>7263</v>
      </c>
      <c r="H9" s="53">
        <f t="shared" si="2"/>
        <v>0.57720734324088052</v>
      </c>
      <c r="I9" s="54">
        <v>3246</v>
      </c>
      <c r="J9" s="55">
        <f t="shared" si="3"/>
        <v>0.56188333044832961</v>
      </c>
    </row>
    <row r="10" spans="1:10" x14ac:dyDescent="0.2">
      <c r="A10" s="27" t="s">
        <v>166</v>
      </c>
      <c r="B10" s="27" t="s">
        <v>177</v>
      </c>
      <c r="C10" s="52">
        <v>2870</v>
      </c>
      <c r="D10" s="53">
        <f t="shared" si="0"/>
        <v>1.7077539168258389E-2</v>
      </c>
      <c r="E10" s="52">
        <v>256</v>
      </c>
      <c r="F10" s="53">
        <f t="shared" si="1"/>
        <v>1.0696974761825172E-2</v>
      </c>
      <c r="G10" s="52">
        <v>136</v>
      </c>
      <c r="H10" s="53">
        <f t="shared" si="2"/>
        <v>1.0808233330684256E-2</v>
      </c>
      <c r="I10" s="54">
        <v>44</v>
      </c>
      <c r="J10" s="55">
        <f t="shared" si="3"/>
        <v>7.6164099013328714E-3</v>
      </c>
    </row>
    <row r="11" spans="1:10" x14ac:dyDescent="0.2">
      <c r="A11" s="27" t="s">
        <v>167</v>
      </c>
      <c r="B11" s="27" t="s">
        <v>178</v>
      </c>
      <c r="C11" s="52">
        <v>22059</v>
      </c>
      <c r="D11" s="53">
        <f t="shared" si="0"/>
        <v>0.1312590371124083</v>
      </c>
      <c r="E11" s="52">
        <v>3243</v>
      </c>
      <c r="F11" s="53">
        <f t="shared" si="1"/>
        <v>0.13550894200233995</v>
      </c>
      <c r="G11" s="52">
        <v>1822</v>
      </c>
      <c r="H11" s="53">
        <f t="shared" si="2"/>
        <v>0.14479853770960821</v>
      </c>
      <c r="I11" s="54">
        <v>999</v>
      </c>
      <c r="J11" s="55">
        <f t="shared" si="3"/>
        <v>0.17292712480526223</v>
      </c>
    </row>
    <row r="12" spans="1:10" x14ac:dyDescent="0.2">
      <c r="A12" s="27" t="s">
        <v>168</v>
      </c>
      <c r="B12" s="27" t="s">
        <v>179</v>
      </c>
      <c r="C12" s="52">
        <v>16108</v>
      </c>
      <c r="D12" s="53">
        <f t="shared" si="0"/>
        <v>9.5848432377110146E-2</v>
      </c>
      <c r="E12" s="52">
        <v>3716</v>
      </c>
      <c r="F12" s="53">
        <f t="shared" si="1"/>
        <v>0.15527327427711851</v>
      </c>
      <c r="G12" s="52">
        <v>2233</v>
      </c>
      <c r="H12" s="53">
        <f t="shared" si="2"/>
        <v>0.17746165461336724</v>
      </c>
      <c r="I12" s="54">
        <v>1353</v>
      </c>
      <c r="J12" s="55">
        <f t="shared" si="3"/>
        <v>0.23420460446598582</v>
      </c>
    </row>
    <row r="13" spans="1:10" x14ac:dyDescent="0.2">
      <c r="A13" s="27" t="s">
        <v>169</v>
      </c>
      <c r="B13" s="27" t="s">
        <v>180</v>
      </c>
      <c r="C13" s="52">
        <v>4700</v>
      </c>
      <c r="D13" s="53">
        <f t="shared" si="0"/>
        <v>2.7966701773802935E-2</v>
      </c>
      <c r="E13" s="52">
        <v>682</v>
      </c>
      <c r="F13" s="53">
        <f t="shared" si="1"/>
        <v>2.8497409326424871E-2</v>
      </c>
      <c r="G13" s="52">
        <v>612</v>
      </c>
      <c r="H13" s="53">
        <f t="shared" si="2"/>
        <v>4.8637049988079155E-2</v>
      </c>
      <c r="I13" s="54">
        <v>27</v>
      </c>
      <c r="J13" s="55">
        <f t="shared" si="3"/>
        <v>4.6737060758178985E-3</v>
      </c>
    </row>
    <row r="14" spans="1:10" x14ac:dyDescent="0.2">
      <c r="A14" s="5" t="s">
        <v>15</v>
      </c>
      <c r="B14" s="5" t="s">
        <v>181</v>
      </c>
      <c r="C14" s="48">
        <f>C15+C16</f>
        <v>17077</v>
      </c>
      <c r="D14" s="68">
        <v>1</v>
      </c>
      <c r="E14" s="48">
        <f>E15+E16</f>
        <v>2443</v>
      </c>
      <c r="F14" s="68">
        <v>1</v>
      </c>
      <c r="G14" s="48">
        <f>SUM(G15:G16)</f>
        <v>1386</v>
      </c>
      <c r="H14" s="68">
        <v>1</v>
      </c>
      <c r="I14" s="50">
        <f>I15+I16</f>
        <v>619</v>
      </c>
      <c r="J14" s="65">
        <v>1</v>
      </c>
    </row>
    <row r="15" spans="1:10" x14ac:dyDescent="0.2">
      <c r="A15" s="27" t="s">
        <v>170</v>
      </c>
      <c r="B15" s="27" t="s">
        <v>182</v>
      </c>
      <c r="C15" s="52">
        <v>10770</v>
      </c>
      <c r="D15" s="56">
        <f>C15/$C$14</f>
        <v>0.63067283480705039</v>
      </c>
      <c r="E15" s="52">
        <v>1443</v>
      </c>
      <c r="F15" s="53">
        <f>E15/$E$14</f>
        <v>0.59066721244371678</v>
      </c>
      <c r="G15" s="52">
        <v>855</v>
      </c>
      <c r="H15" s="53">
        <f>G15/$G$14</f>
        <v>0.61688311688311692</v>
      </c>
      <c r="I15" s="54">
        <v>289</v>
      </c>
      <c r="J15" s="55">
        <f>I15/$I$14</f>
        <v>0.46688206785137321</v>
      </c>
    </row>
    <row r="16" spans="1:10" x14ac:dyDescent="0.2">
      <c r="A16" s="27" t="s">
        <v>171</v>
      </c>
      <c r="B16" s="27" t="s">
        <v>183</v>
      </c>
      <c r="C16" s="52">
        <v>6307</v>
      </c>
      <c r="D16" s="56">
        <f>C16/$C$14</f>
        <v>0.36932716519294956</v>
      </c>
      <c r="E16" s="52">
        <v>1000</v>
      </c>
      <c r="F16" s="53">
        <f>E16/$E$14</f>
        <v>0.40933278755628327</v>
      </c>
      <c r="G16" s="52">
        <v>531</v>
      </c>
      <c r="H16" s="53">
        <f>G16/$G$14</f>
        <v>0.38311688311688313</v>
      </c>
      <c r="I16" s="54">
        <v>330</v>
      </c>
      <c r="J16" s="55">
        <f>I16/$I$14</f>
        <v>0.53311793214862679</v>
      </c>
    </row>
    <row r="17" spans="1:10" x14ac:dyDescent="0.2">
      <c r="A17" s="5" t="s">
        <v>41</v>
      </c>
      <c r="B17" s="5" t="s">
        <v>184</v>
      </c>
      <c r="C17" s="106">
        <f>C14/$C$6</f>
        <v>0.10161433323217718</v>
      </c>
      <c r="D17" s="106"/>
      <c r="E17" s="106">
        <f>E14/$E$6</f>
        <v>0.10208089587163631</v>
      </c>
      <c r="F17" s="106"/>
      <c r="G17" s="106">
        <f>G14/$G$6</f>
        <v>0.11014861320829691</v>
      </c>
      <c r="H17" s="106"/>
      <c r="I17" s="103">
        <f>I14/$I$6</f>
        <v>0.10714903929375108</v>
      </c>
      <c r="J17" s="103"/>
    </row>
    <row r="18" spans="1:10" x14ac:dyDescent="0.2">
      <c r="A18" s="5" t="s">
        <v>40</v>
      </c>
      <c r="B18" s="5" t="s">
        <v>185</v>
      </c>
      <c r="C18" s="105">
        <f>C6/23933397*10000</f>
        <v>70.218615435159506</v>
      </c>
      <c r="D18" s="105"/>
      <c r="E18" s="105">
        <f>E6/2579276*10000</f>
        <v>92.785727467707986</v>
      </c>
      <c r="F18" s="105"/>
      <c r="G18" s="105">
        <f>G6/1301854*10000</f>
        <v>96.654463557357417</v>
      </c>
      <c r="H18" s="105"/>
      <c r="I18" s="104">
        <f>I6/413596*10000</f>
        <v>139.6773663188232</v>
      </c>
      <c r="J18" s="104"/>
    </row>
    <row r="19" spans="1:10" s="23" customFormat="1" x14ac:dyDescent="0.2">
      <c r="A19" s="5" t="s">
        <v>42</v>
      </c>
      <c r="B19" s="5" t="s">
        <v>186</v>
      </c>
      <c r="C19" s="103">
        <f>40720/C6</f>
        <v>0.24229874387856501</v>
      </c>
      <c r="D19" s="103"/>
      <c r="E19" s="103">
        <f>22957/E6</f>
        <v>0.95925956877820495</v>
      </c>
      <c r="F19" s="103"/>
      <c r="G19" s="103">
        <f>2773/G6</f>
        <v>0.22037669872049589</v>
      </c>
      <c r="H19" s="103"/>
      <c r="I19" s="103">
        <f>1044/I6</f>
        <v>0.1807166349316254</v>
      </c>
      <c r="J19" s="103"/>
    </row>
    <row r="20" spans="1:10" x14ac:dyDescent="0.2">
      <c r="A20" s="2" t="s">
        <v>75</v>
      </c>
      <c r="B20" s="2"/>
      <c r="C20" s="18"/>
      <c r="E20" s="18"/>
      <c r="G20" s="18"/>
      <c r="I20" s="18"/>
    </row>
    <row r="21" spans="1:10" x14ac:dyDescent="0.2">
      <c r="A21" s="2" t="s">
        <v>83</v>
      </c>
      <c r="B21" s="2"/>
    </row>
    <row r="22" spans="1:10" x14ac:dyDescent="0.2">
      <c r="A22" s="2" t="s">
        <v>0</v>
      </c>
      <c r="B22" s="2"/>
    </row>
    <row r="23" spans="1:10" x14ac:dyDescent="0.2">
      <c r="A23" s="2" t="s">
        <v>84</v>
      </c>
      <c r="B23" s="2"/>
    </row>
  </sheetData>
  <mergeCells count="12"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25"/>
  <sheetViews>
    <sheetView workbookViewId="0">
      <selection activeCell="A3" sqref="A3"/>
    </sheetView>
  </sheetViews>
  <sheetFormatPr baseColWidth="10" defaultRowHeight="12.75" x14ac:dyDescent="0.2"/>
  <cols>
    <col min="1" max="2" width="35.7109375" style="1" customWidth="1"/>
    <col min="3" max="10" width="11.42578125" style="1" customWidth="1"/>
    <col min="11" max="16384" width="11.42578125" style="1"/>
  </cols>
  <sheetData>
    <row r="1" spans="1:10" x14ac:dyDescent="0.2">
      <c r="A1" s="5" t="s">
        <v>193</v>
      </c>
      <c r="B1" s="5"/>
    </row>
    <row r="2" spans="1:10" x14ac:dyDescent="0.2">
      <c r="A2" s="24" t="s">
        <v>114</v>
      </c>
      <c r="B2" s="24"/>
    </row>
    <row r="4" spans="1:10" s="28" customFormat="1" ht="27" customHeight="1" x14ac:dyDescent="0.2">
      <c r="A4" s="10"/>
      <c r="B4" s="10"/>
      <c r="C4" s="10" t="s">
        <v>2</v>
      </c>
      <c r="D4" s="10"/>
      <c r="E4" s="10" t="s">
        <v>188</v>
      </c>
      <c r="F4" s="10"/>
      <c r="G4" s="10" t="s">
        <v>22</v>
      </c>
      <c r="H4" s="10"/>
      <c r="I4" s="10" t="s">
        <v>4</v>
      </c>
      <c r="J4" s="10"/>
    </row>
    <row r="5" spans="1:10" s="28" customFormat="1" ht="27" customHeight="1" x14ac:dyDescent="0.2">
      <c r="A5" s="10"/>
      <c r="B5" s="10"/>
      <c r="C5" s="10" t="s">
        <v>187</v>
      </c>
      <c r="D5" s="10" t="s">
        <v>11</v>
      </c>
      <c r="E5" s="10" t="s">
        <v>189</v>
      </c>
      <c r="F5" s="10" t="s">
        <v>11</v>
      </c>
      <c r="G5" s="10" t="s">
        <v>190</v>
      </c>
      <c r="H5" s="10" t="s">
        <v>11</v>
      </c>
      <c r="I5" s="10" t="s">
        <v>4</v>
      </c>
      <c r="J5" s="10" t="s">
        <v>11</v>
      </c>
    </row>
    <row r="6" spans="1:10" x14ac:dyDescent="0.2">
      <c r="A6" s="5" t="s">
        <v>14</v>
      </c>
      <c r="B6" s="5" t="s">
        <v>172</v>
      </c>
      <c r="C6" s="48">
        <v>150785</v>
      </c>
      <c r="D6" s="49">
        <v>1</v>
      </c>
      <c r="E6" s="48">
        <v>21954</v>
      </c>
      <c r="F6" s="49">
        <v>1</v>
      </c>
      <c r="G6" s="48">
        <v>11820</v>
      </c>
      <c r="H6" s="49">
        <v>1</v>
      </c>
      <c r="I6" s="50">
        <v>5300</v>
      </c>
      <c r="J6" s="51">
        <v>1</v>
      </c>
    </row>
    <row r="7" spans="1:10" x14ac:dyDescent="0.2">
      <c r="A7" s="27" t="s">
        <v>164</v>
      </c>
      <c r="B7" s="27" t="s">
        <v>173</v>
      </c>
      <c r="C7" s="52">
        <v>2659</v>
      </c>
      <c r="D7" s="53">
        <f t="shared" ref="D7:D13" si="0">C7/C$6</f>
        <v>1.7634380077593926E-2</v>
      </c>
      <c r="E7" s="52">
        <v>485</v>
      </c>
      <c r="F7" s="53">
        <f t="shared" ref="F7:F13" si="1">E7/E$6</f>
        <v>2.2091646169263006E-2</v>
      </c>
      <c r="G7" s="52">
        <v>385</v>
      </c>
      <c r="H7" s="53">
        <f t="shared" ref="H7:H13" si="2">G7/G$6</f>
        <v>3.2571912013536382E-2</v>
      </c>
      <c r="I7" s="54">
        <v>20</v>
      </c>
      <c r="J7" s="55">
        <f t="shared" ref="J7:J13" si="3">I7/I$6</f>
        <v>3.7735849056603774E-3</v>
      </c>
    </row>
    <row r="8" spans="1:10" x14ac:dyDescent="0.2">
      <c r="A8" s="27" t="s">
        <v>165</v>
      </c>
      <c r="B8" s="27" t="s">
        <v>174</v>
      </c>
      <c r="C8" s="52">
        <v>246</v>
      </c>
      <c r="D8" s="53">
        <f t="shared" si="0"/>
        <v>1.6314620154524655E-3</v>
      </c>
      <c r="E8" s="52">
        <v>22</v>
      </c>
      <c r="F8" s="53">
        <f t="shared" si="1"/>
        <v>1.0020952901521362E-3</v>
      </c>
      <c r="G8" s="52">
        <v>20</v>
      </c>
      <c r="H8" s="53">
        <f t="shared" si="2"/>
        <v>1.6920473773265651E-3</v>
      </c>
      <c r="I8" s="54">
        <v>12</v>
      </c>
      <c r="J8" s="55">
        <f t="shared" si="3"/>
        <v>2.2641509433962265E-3</v>
      </c>
    </row>
    <row r="9" spans="1:10" x14ac:dyDescent="0.2">
      <c r="A9" s="27" t="s">
        <v>175</v>
      </c>
      <c r="B9" s="27" t="s">
        <v>176</v>
      </c>
      <c r="C9" s="52">
        <v>105066</v>
      </c>
      <c r="D9" s="53">
        <f t="shared" si="0"/>
        <v>0.69679344762410056</v>
      </c>
      <c r="E9" s="52">
        <v>13681</v>
      </c>
      <c r="F9" s="53">
        <f t="shared" si="1"/>
        <v>0.6231666211168807</v>
      </c>
      <c r="G9" s="52">
        <v>6511</v>
      </c>
      <c r="H9" s="53">
        <f t="shared" si="2"/>
        <v>0.55084602368866331</v>
      </c>
      <c r="I9" s="54">
        <v>2666</v>
      </c>
      <c r="J9" s="55">
        <f t="shared" si="3"/>
        <v>0.50301886792452832</v>
      </c>
    </row>
    <row r="10" spans="1:10" x14ac:dyDescent="0.2">
      <c r="A10" s="27" t="s">
        <v>166</v>
      </c>
      <c r="B10" s="27" t="s">
        <v>177</v>
      </c>
      <c r="C10" s="52">
        <v>2839</v>
      </c>
      <c r="D10" s="53">
        <f t="shared" si="0"/>
        <v>1.8828132771827436E-2</v>
      </c>
      <c r="E10" s="52">
        <v>379</v>
      </c>
      <c r="F10" s="53">
        <f t="shared" si="1"/>
        <v>1.7263368862166346E-2</v>
      </c>
      <c r="G10" s="52">
        <v>168</v>
      </c>
      <c r="H10" s="53">
        <f t="shared" si="2"/>
        <v>1.4213197969543147E-2</v>
      </c>
      <c r="I10" s="54">
        <v>100</v>
      </c>
      <c r="J10" s="55">
        <f t="shared" si="3"/>
        <v>1.8867924528301886E-2</v>
      </c>
    </row>
    <row r="11" spans="1:10" x14ac:dyDescent="0.2">
      <c r="A11" s="27" t="s">
        <v>167</v>
      </c>
      <c r="B11" s="27" t="s">
        <v>178</v>
      </c>
      <c r="C11" s="52">
        <v>20270</v>
      </c>
      <c r="D11" s="53">
        <f t="shared" si="0"/>
        <v>0.13442981728951819</v>
      </c>
      <c r="E11" s="52">
        <v>3347</v>
      </c>
      <c r="F11" s="53">
        <f t="shared" si="1"/>
        <v>0.15245513346087272</v>
      </c>
      <c r="G11" s="52">
        <v>2211</v>
      </c>
      <c r="H11" s="53">
        <f t="shared" si="2"/>
        <v>0.18705583756345179</v>
      </c>
      <c r="I11" s="54">
        <v>1467</v>
      </c>
      <c r="J11" s="55">
        <f t="shared" si="3"/>
        <v>0.27679245283018866</v>
      </c>
    </row>
    <row r="12" spans="1:10" x14ac:dyDescent="0.2">
      <c r="A12" s="27" t="s">
        <v>168</v>
      </c>
      <c r="B12" s="27" t="s">
        <v>179</v>
      </c>
      <c r="C12" s="52">
        <v>14242</v>
      </c>
      <c r="D12" s="53">
        <f t="shared" si="0"/>
        <v>9.4452365951520373E-2</v>
      </c>
      <c r="E12" s="52">
        <v>3104</v>
      </c>
      <c r="F12" s="53">
        <f t="shared" si="1"/>
        <v>0.14138653548328323</v>
      </c>
      <c r="G12" s="52">
        <v>1753</v>
      </c>
      <c r="H12" s="53">
        <f t="shared" si="2"/>
        <v>0.14830795262267343</v>
      </c>
      <c r="I12" s="54">
        <v>1019</v>
      </c>
      <c r="J12" s="55">
        <f t="shared" si="3"/>
        <v>0.19226415094339622</v>
      </c>
    </row>
    <row r="13" spans="1:10" x14ac:dyDescent="0.2">
      <c r="A13" s="27" t="s">
        <v>169</v>
      </c>
      <c r="B13" s="27" t="s">
        <v>180</v>
      </c>
      <c r="C13" s="52">
        <v>5463</v>
      </c>
      <c r="D13" s="53">
        <f t="shared" si="0"/>
        <v>3.6230394269987067E-2</v>
      </c>
      <c r="E13" s="52">
        <v>936</v>
      </c>
      <c r="F13" s="53">
        <f t="shared" si="1"/>
        <v>4.2634599617381801E-2</v>
      </c>
      <c r="G13" s="52">
        <v>772</v>
      </c>
      <c r="H13" s="53">
        <f t="shared" si="2"/>
        <v>6.5313028764805409E-2</v>
      </c>
      <c r="I13" s="54">
        <v>16</v>
      </c>
      <c r="J13" s="55">
        <f t="shared" si="3"/>
        <v>3.0188679245283017E-3</v>
      </c>
    </row>
    <row r="14" spans="1:10" x14ac:dyDescent="0.2">
      <c r="A14" s="5" t="s">
        <v>15</v>
      </c>
      <c r="B14" s="5" t="s">
        <v>181</v>
      </c>
      <c r="C14" s="48">
        <f>C16+C15</f>
        <v>14932</v>
      </c>
      <c r="D14" s="49">
        <v>1</v>
      </c>
      <c r="E14" s="48">
        <f>E16+E15</f>
        <v>2443</v>
      </c>
      <c r="F14" s="49">
        <v>1</v>
      </c>
      <c r="G14" s="48">
        <f>SUM(G15:G16)</f>
        <v>1520</v>
      </c>
      <c r="H14" s="49">
        <v>1</v>
      </c>
      <c r="I14" s="50">
        <f>I16+I15</f>
        <v>725</v>
      </c>
      <c r="J14" s="51">
        <v>1</v>
      </c>
    </row>
    <row r="15" spans="1:10" x14ac:dyDescent="0.2">
      <c r="A15" s="27" t="s">
        <v>170</v>
      </c>
      <c r="B15" s="27" t="s">
        <v>182</v>
      </c>
      <c r="C15" s="52">
        <v>9253</v>
      </c>
      <c r="D15" s="56">
        <f>C15/$C$14</f>
        <v>0.61967586391642115</v>
      </c>
      <c r="E15" s="52">
        <v>1443</v>
      </c>
      <c r="F15" s="53">
        <f>E15/$E$14</f>
        <v>0.59066721244371678</v>
      </c>
      <c r="G15" s="52">
        <v>1009</v>
      </c>
      <c r="H15" s="53">
        <f>G15/$G$14</f>
        <v>0.66381578947368425</v>
      </c>
      <c r="I15" s="54">
        <v>404</v>
      </c>
      <c r="J15" s="55">
        <f>I15/$I$14</f>
        <v>0.55724137931034479</v>
      </c>
    </row>
    <row r="16" spans="1:10" x14ac:dyDescent="0.2">
      <c r="A16" s="27" t="s">
        <v>171</v>
      </c>
      <c r="B16" s="27" t="s">
        <v>183</v>
      </c>
      <c r="C16" s="52">
        <v>5679</v>
      </c>
      <c r="D16" s="56">
        <f>C16/$C$14</f>
        <v>0.3803241360835789</v>
      </c>
      <c r="E16" s="52">
        <v>1000</v>
      </c>
      <c r="F16" s="53">
        <f>E16/$E$14</f>
        <v>0.40933278755628327</v>
      </c>
      <c r="G16" s="52">
        <v>511</v>
      </c>
      <c r="H16" s="53">
        <f>G16/$G$14</f>
        <v>0.33618421052631581</v>
      </c>
      <c r="I16" s="54">
        <v>321</v>
      </c>
      <c r="J16" s="55">
        <f>I16/$I$14</f>
        <v>0.44275862068965516</v>
      </c>
    </row>
    <row r="17" spans="1:10" x14ac:dyDescent="0.2">
      <c r="A17" s="5" t="s">
        <v>41</v>
      </c>
      <c r="B17" s="5" t="s">
        <v>184</v>
      </c>
      <c r="C17" s="106">
        <f>C14/$C$6</f>
        <v>9.9028417946082165E-2</v>
      </c>
      <c r="D17" s="106"/>
      <c r="E17" s="106">
        <f>E14/$E$6</f>
        <v>0.11127812699280314</v>
      </c>
      <c r="F17" s="106"/>
      <c r="G17" s="106">
        <f>G14/$G$6</f>
        <v>0.12859560067681894</v>
      </c>
      <c r="H17" s="106"/>
      <c r="I17" s="103">
        <f>I14/$I$6</f>
        <v>0.13679245283018868</v>
      </c>
      <c r="J17" s="103"/>
    </row>
    <row r="18" spans="1:10" s="23" customFormat="1" x14ac:dyDescent="0.2">
      <c r="A18" s="5" t="s">
        <v>40</v>
      </c>
      <c r="B18" s="5" t="s">
        <v>185</v>
      </c>
      <c r="C18" s="105">
        <f>C6/23785665*10000</f>
        <v>63.393224448423034</v>
      </c>
      <c r="D18" s="105"/>
      <c r="E18" s="105">
        <f>E6/2529763*10000</f>
        <v>86.782833016373473</v>
      </c>
      <c r="F18" s="105"/>
      <c r="G18" s="105">
        <f>G6/1295140*10000</f>
        <v>91.264264867118612</v>
      </c>
      <c r="H18" s="105"/>
      <c r="I18" s="104">
        <f>I6/411201*10000</f>
        <v>128.89073713342137</v>
      </c>
      <c r="J18" s="104"/>
    </row>
    <row r="19" spans="1:10" s="23" customFormat="1" x14ac:dyDescent="0.2">
      <c r="A19" s="5" t="s">
        <v>42</v>
      </c>
      <c r="B19" s="5" t="s">
        <v>186</v>
      </c>
      <c r="C19" s="103">
        <f>35860/C6</f>
        <v>0.23782206452896509</v>
      </c>
      <c r="D19" s="103"/>
      <c r="E19" s="103">
        <f>4755/E6</f>
        <v>0.21658923203060945</v>
      </c>
      <c r="F19" s="103"/>
      <c r="G19" s="103">
        <f>2314/G6</f>
        <v>0.19576988155668359</v>
      </c>
      <c r="H19" s="103"/>
      <c r="I19" s="103">
        <f>1007/I6</f>
        <v>0.19</v>
      </c>
      <c r="J19" s="103"/>
    </row>
    <row r="20" spans="1:10" x14ac:dyDescent="0.2">
      <c r="A20" s="2" t="s">
        <v>75</v>
      </c>
      <c r="B20" s="2"/>
      <c r="G20" s="18"/>
      <c r="I20" s="18"/>
    </row>
    <row r="21" spans="1:10" x14ac:dyDescent="0.2">
      <c r="A21" s="2" t="s">
        <v>83</v>
      </c>
      <c r="B21" s="2"/>
      <c r="C21" s="18"/>
      <c r="E21" s="18"/>
    </row>
    <row r="22" spans="1:10" x14ac:dyDescent="0.2">
      <c r="A22" s="2" t="s">
        <v>0</v>
      </c>
      <c r="B22" s="2"/>
    </row>
    <row r="23" spans="1:10" x14ac:dyDescent="0.2">
      <c r="A23" s="2" t="s">
        <v>95</v>
      </c>
      <c r="B23" s="2"/>
    </row>
    <row r="25" spans="1:10" x14ac:dyDescent="0.2">
      <c r="E25" s="47"/>
      <c r="F25" s="47"/>
      <c r="G25" s="47"/>
      <c r="H25" s="47"/>
    </row>
  </sheetData>
  <mergeCells count="12">
    <mergeCell ref="C17:D17"/>
    <mergeCell ref="E17:F17"/>
    <mergeCell ref="G17:H17"/>
    <mergeCell ref="I17:J17"/>
    <mergeCell ref="I18:J18"/>
    <mergeCell ref="G18:H18"/>
    <mergeCell ref="E18:F18"/>
    <mergeCell ref="C18:D18"/>
    <mergeCell ref="C19:D19"/>
    <mergeCell ref="E19:F19"/>
    <mergeCell ref="G19:H19"/>
    <mergeCell ref="I19:J19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J23"/>
  <sheetViews>
    <sheetView workbookViewId="0">
      <selection activeCell="A3" sqref="A3"/>
    </sheetView>
  </sheetViews>
  <sheetFormatPr baseColWidth="10" defaultRowHeight="12.75" x14ac:dyDescent="0.2"/>
  <cols>
    <col min="1" max="2" width="35.7109375" style="1" customWidth="1"/>
    <col min="3" max="10" width="11.42578125" style="1" customWidth="1"/>
    <col min="11" max="16384" width="11.42578125" style="1"/>
  </cols>
  <sheetData>
    <row r="1" spans="1:10" x14ac:dyDescent="0.2">
      <c r="A1" s="5" t="s">
        <v>194</v>
      </c>
      <c r="B1" s="5"/>
    </row>
    <row r="2" spans="1:10" x14ac:dyDescent="0.2">
      <c r="A2" s="24" t="s">
        <v>115</v>
      </c>
      <c r="B2" s="24"/>
    </row>
    <row r="4" spans="1:10" s="28" customFormat="1" ht="27" customHeight="1" x14ac:dyDescent="0.2">
      <c r="A4" s="20"/>
      <c r="B4" s="20"/>
      <c r="C4" s="10" t="s">
        <v>2</v>
      </c>
      <c r="D4" s="10"/>
      <c r="E4" s="10" t="s">
        <v>188</v>
      </c>
      <c r="F4" s="10"/>
      <c r="G4" s="10" t="s">
        <v>22</v>
      </c>
      <c r="H4" s="10"/>
      <c r="I4" s="10" t="s">
        <v>4</v>
      </c>
      <c r="J4" s="10"/>
    </row>
    <row r="5" spans="1:10" s="28" customFormat="1" ht="27" customHeight="1" x14ac:dyDescent="0.2">
      <c r="A5" s="20"/>
      <c r="B5" s="20"/>
      <c r="C5" s="10" t="s">
        <v>187</v>
      </c>
      <c r="D5" s="10" t="s">
        <v>11</v>
      </c>
      <c r="E5" s="10" t="s">
        <v>189</v>
      </c>
      <c r="F5" s="10" t="s">
        <v>11</v>
      </c>
      <c r="G5" s="10" t="s">
        <v>190</v>
      </c>
      <c r="H5" s="10" t="s">
        <v>11</v>
      </c>
      <c r="I5" s="10" t="s">
        <v>4</v>
      </c>
      <c r="J5" s="10" t="s">
        <v>11</v>
      </c>
    </row>
    <row r="6" spans="1:10" x14ac:dyDescent="0.2">
      <c r="A6" s="5" t="s">
        <v>14</v>
      </c>
      <c r="B6" s="5" t="s">
        <v>172</v>
      </c>
      <c r="C6" s="48">
        <v>162848</v>
      </c>
      <c r="D6" s="49">
        <v>1</v>
      </c>
      <c r="E6" s="48">
        <v>22654</v>
      </c>
      <c r="F6" s="49">
        <v>1</v>
      </c>
      <c r="G6" s="48">
        <v>12176</v>
      </c>
      <c r="H6" s="49">
        <v>1</v>
      </c>
      <c r="I6" s="48">
        <v>5165</v>
      </c>
      <c r="J6" s="49">
        <v>1</v>
      </c>
    </row>
    <row r="7" spans="1:10" x14ac:dyDescent="0.2">
      <c r="A7" s="27" t="s">
        <v>164</v>
      </c>
      <c r="B7" s="27" t="s">
        <v>173</v>
      </c>
      <c r="C7" s="52">
        <v>2283</v>
      </c>
      <c r="D7" s="53">
        <f t="shared" ref="D7:D13" si="0">C7/C$6</f>
        <v>1.4019208095893103E-2</v>
      </c>
      <c r="E7" s="52">
        <v>214</v>
      </c>
      <c r="F7" s="53">
        <f t="shared" ref="F7:F13" si="1">E7/E$6</f>
        <v>9.4464553721197147E-3</v>
      </c>
      <c r="G7" s="52">
        <v>185</v>
      </c>
      <c r="H7" s="53">
        <f t="shared" ref="H7:H13" si="2">G7/G$6</f>
        <v>1.5193823915900132E-2</v>
      </c>
      <c r="I7" s="52">
        <v>7</v>
      </c>
      <c r="J7" s="53">
        <f t="shared" ref="J7:J13" si="3">I7/I$6</f>
        <v>1.3552758954501452E-3</v>
      </c>
    </row>
    <row r="8" spans="1:10" x14ac:dyDescent="0.2">
      <c r="A8" s="27" t="s">
        <v>165</v>
      </c>
      <c r="B8" s="27" t="s">
        <v>174</v>
      </c>
      <c r="C8" s="52">
        <v>189</v>
      </c>
      <c r="D8" s="53">
        <f t="shared" si="0"/>
        <v>1.1605914718019257E-3</v>
      </c>
      <c r="E8" s="52">
        <v>15</v>
      </c>
      <c r="F8" s="53">
        <f t="shared" si="1"/>
        <v>6.6213472234483975E-4</v>
      </c>
      <c r="G8" s="52">
        <v>13</v>
      </c>
      <c r="H8" s="53">
        <f t="shared" si="2"/>
        <v>1.0676741130091984E-3</v>
      </c>
      <c r="I8" s="52">
        <v>288</v>
      </c>
      <c r="J8" s="53">
        <f t="shared" si="3"/>
        <v>5.5759922555663116E-2</v>
      </c>
    </row>
    <row r="9" spans="1:10" x14ac:dyDescent="0.2">
      <c r="A9" s="27" t="s">
        <v>175</v>
      </c>
      <c r="B9" s="27" t="s">
        <v>176</v>
      </c>
      <c r="C9" s="52">
        <v>116734</v>
      </c>
      <c r="D9" s="53">
        <f t="shared" si="0"/>
        <v>0.71682796227156609</v>
      </c>
      <c r="E9" s="52">
        <v>14947</v>
      </c>
      <c r="F9" s="53">
        <f t="shared" si="1"/>
        <v>0.6597951796592213</v>
      </c>
      <c r="G9" s="52">
        <v>7261</v>
      </c>
      <c r="H9" s="53">
        <f t="shared" si="2"/>
        <v>0.59633705650459923</v>
      </c>
      <c r="I9" s="52">
        <v>2541</v>
      </c>
      <c r="J9" s="53">
        <f t="shared" si="3"/>
        <v>0.49196515004840269</v>
      </c>
    </row>
    <row r="10" spans="1:10" x14ac:dyDescent="0.2">
      <c r="A10" s="27" t="s">
        <v>166</v>
      </c>
      <c r="B10" s="27" t="s">
        <v>177</v>
      </c>
      <c r="C10" s="52">
        <v>2339</v>
      </c>
      <c r="D10" s="53">
        <f t="shared" si="0"/>
        <v>1.4363087050501081E-2</v>
      </c>
      <c r="E10" s="52">
        <v>433</v>
      </c>
      <c r="F10" s="53">
        <f t="shared" si="1"/>
        <v>1.9113622318354374E-2</v>
      </c>
      <c r="G10" s="52">
        <v>214</v>
      </c>
      <c r="H10" s="53">
        <f t="shared" si="2"/>
        <v>1.7575558475689881E-2</v>
      </c>
      <c r="I10" s="52">
        <v>142</v>
      </c>
      <c r="J10" s="53">
        <f t="shared" si="3"/>
        <v>2.7492739593417231E-2</v>
      </c>
    </row>
    <row r="11" spans="1:10" x14ac:dyDescent="0.2">
      <c r="A11" s="27" t="s">
        <v>167</v>
      </c>
      <c r="B11" s="27" t="s">
        <v>178</v>
      </c>
      <c r="C11" s="52">
        <v>22350</v>
      </c>
      <c r="D11" s="53">
        <f t="shared" si="0"/>
        <v>0.13724454706229122</v>
      </c>
      <c r="E11" s="52">
        <v>3167</v>
      </c>
      <c r="F11" s="53">
        <f t="shared" si="1"/>
        <v>0.13979871104440716</v>
      </c>
      <c r="G11" s="52">
        <v>2091</v>
      </c>
      <c r="H11" s="53">
        <f t="shared" si="2"/>
        <v>0.17173127463863339</v>
      </c>
      <c r="I11" s="52">
        <v>1292</v>
      </c>
      <c r="J11" s="53">
        <f t="shared" si="3"/>
        <v>0.25014520813165536</v>
      </c>
    </row>
    <row r="12" spans="1:10" x14ac:dyDescent="0.2">
      <c r="A12" s="27" t="s">
        <v>168</v>
      </c>
      <c r="B12" s="27" t="s">
        <v>179</v>
      </c>
      <c r="C12" s="52">
        <v>13651</v>
      </c>
      <c r="D12" s="53">
        <f t="shared" si="0"/>
        <v>8.3826635881312631E-2</v>
      </c>
      <c r="E12" s="52">
        <v>2965</v>
      </c>
      <c r="F12" s="53">
        <f t="shared" si="1"/>
        <v>0.13088196345016331</v>
      </c>
      <c r="G12" s="52">
        <v>1640</v>
      </c>
      <c r="H12" s="53">
        <f t="shared" si="2"/>
        <v>0.13469119579500657</v>
      </c>
      <c r="I12" s="52">
        <v>873</v>
      </c>
      <c r="J12" s="53">
        <f t="shared" si="3"/>
        <v>0.16902226524685382</v>
      </c>
    </row>
    <row r="13" spans="1:10" x14ac:dyDescent="0.2">
      <c r="A13" s="27" t="s">
        <v>169</v>
      </c>
      <c r="B13" s="27" t="s">
        <v>180</v>
      </c>
      <c r="C13" s="52">
        <v>5302</v>
      </c>
      <c r="D13" s="53">
        <f t="shared" si="0"/>
        <v>3.2557968166633915E-2</v>
      </c>
      <c r="E13" s="52">
        <v>913</v>
      </c>
      <c r="F13" s="53">
        <f t="shared" si="1"/>
        <v>4.0301933433389246E-2</v>
      </c>
      <c r="G13" s="52">
        <v>772</v>
      </c>
      <c r="H13" s="53">
        <f t="shared" si="2"/>
        <v>6.3403416557161626E-2</v>
      </c>
      <c r="I13" s="52">
        <v>22</v>
      </c>
      <c r="J13" s="53">
        <f t="shared" si="3"/>
        <v>4.2594385285575995E-3</v>
      </c>
    </row>
    <row r="14" spans="1:10" x14ac:dyDescent="0.2">
      <c r="A14" s="5" t="s">
        <v>15</v>
      </c>
      <c r="B14" s="5" t="s">
        <v>181</v>
      </c>
      <c r="C14" s="48">
        <f>C15+C16</f>
        <v>15720</v>
      </c>
      <c r="D14" s="49">
        <v>1</v>
      </c>
      <c r="E14" s="48">
        <f>E15+E16</f>
        <v>2281</v>
      </c>
      <c r="F14" s="49">
        <v>1</v>
      </c>
      <c r="G14" s="48">
        <f>SUM(G15:G16)</f>
        <v>1608</v>
      </c>
      <c r="H14" s="49">
        <v>1</v>
      </c>
      <c r="I14" s="48">
        <f>I15+I16</f>
        <v>752</v>
      </c>
      <c r="J14" s="49">
        <v>1</v>
      </c>
    </row>
    <row r="15" spans="1:10" x14ac:dyDescent="0.2">
      <c r="A15" s="27" t="s">
        <v>170</v>
      </c>
      <c r="B15" s="27" t="s">
        <v>182</v>
      </c>
      <c r="C15" s="52">
        <v>9331</v>
      </c>
      <c r="D15" s="56">
        <f>C15/$C$14</f>
        <v>0.59357506361323153</v>
      </c>
      <c r="E15" s="52">
        <v>1445</v>
      </c>
      <c r="F15" s="56">
        <f>E15/$E$14</f>
        <v>0.63349408154318276</v>
      </c>
      <c r="G15" s="52">
        <v>953</v>
      </c>
      <c r="H15" s="56">
        <f>G15/$G$14</f>
        <v>0.59266169154228854</v>
      </c>
      <c r="I15" s="52">
        <v>333</v>
      </c>
      <c r="J15" s="56">
        <f>I15/$I$14</f>
        <v>0.44281914893617019</v>
      </c>
    </row>
    <row r="16" spans="1:10" x14ac:dyDescent="0.2">
      <c r="A16" s="27" t="s">
        <v>171</v>
      </c>
      <c r="B16" s="27" t="s">
        <v>183</v>
      </c>
      <c r="C16" s="52">
        <v>6389</v>
      </c>
      <c r="D16" s="56">
        <f>C16/$C$14</f>
        <v>0.40642493638676847</v>
      </c>
      <c r="E16" s="52">
        <v>836</v>
      </c>
      <c r="F16" s="56">
        <f>E16/$E$14</f>
        <v>0.36650591845681718</v>
      </c>
      <c r="G16" s="52">
        <v>655</v>
      </c>
      <c r="H16" s="56">
        <f>G16/$G$14</f>
        <v>0.40733830845771146</v>
      </c>
      <c r="I16" s="52">
        <v>419</v>
      </c>
      <c r="J16" s="56">
        <f>I16/$I$14</f>
        <v>0.55718085106382975</v>
      </c>
    </row>
    <row r="17" spans="1:10" x14ac:dyDescent="0.2">
      <c r="A17" s="5" t="s">
        <v>41</v>
      </c>
      <c r="B17" s="5" t="s">
        <v>184</v>
      </c>
      <c r="C17" s="106">
        <f>C14/$C$6</f>
        <v>9.6531735114953818E-2</v>
      </c>
      <c r="D17" s="106"/>
      <c r="E17" s="106">
        <f>E14/$E$6</f>
        <v>0.10068862011123864</v>
      </c>
      <c r="F17" s="106"/>
      <c r="G17" s="106">
        <f>G14/$G$6</f>
        <v>0.13206307490144548</v>
      </c>
      <c r="H17" s="106"/>
      <c r="I17" s="106">
        <f>I14/$I$6</f>
        <v>0.14559535333978701</v>
      </c>
      <c r="J17" s="106"/>
    </row>
    <row r="18" spans="1:10" x14ac:dyDescent="0.2">
      <c r="A18" s="5" t="s">
        <v>40</v>
      </c>
      <c r="B18" s="5" t="s">
        <v>185</v>
      </c>
      <c r="C18" s="105">
        <f>C6/23733999*10000</f>
        <v>68.613805874012215</v>
      </c>
      <c r="D18" s="105"/>
      <c r="E18" s="105">
        <f>E6/2519884*10000</f>
        <v>89.900963695154232</v>
      </c>
      <c r="F18" s="105"/>
      <c r="G18" s="105">
        <f>G6/1293150*10000</f>
        <v>94.157676990295016</v>
      </c>
      <c r="H18" s="105"/>
      <c r="I18" s="105">
        <f>I6/410898*10000</f>
        <v>125.70029545045243</v>
      </c>
      <c r="J18" s="105"/>
    </row>
    <row r="19" spans="1:10" x14ac:dyDescent="0.2">
      <c r="A19" s="5" t="s">
        <v>42</v>
      </c>
      <c r="B19" s="5" t="s">
        <v>186</v>
      </c>
      <c r="C19" s="103">
        <f>37270/C6</f>
        <v>0.22886372568284535</v>
      </c>
      <c r="D19" s="103"/>
      <c r="E19" s="106">
        <f>5198/E6</f>
        <v>0.22945175244989846</v>
      </c>
      <c r="F19" s="106"/>
      <c r="G19" s="106">
        <f>2502/G6</f>
        <v>0.20548620236530882</v>
      </c>
      <c r="H19" s="106"/>
      <c r="I19" s="106">
        <f>1007/I6</f>
        <v>0.19496611810261374</v>
      </c>
      <c r="J19" s="106"/>
    </row>
    <row r="20" spans="1:10" x14ac:dyDescent="0.2">
      <c r="A20" s="2" t="s">
        <v>75</v>
      </c>
      <c r="B20" s="2"/>
    </row>
    <row r="21" spans="1:10" x14ac:dyDescent="0.2">
      <c r="A21" s="2" t="s">
        <v>83</v>
      </c>
      <c r="B21" s="2"/>
      <c r="C21" s="18"/>
    </row>
    <row r="22" spans="1:10" x14ac:dyDescent="0.2">
      <c r="A22" s="2" t="s">
        <v>0</v>
      </c>
      <c r="B22" s="2"/>
    </row>
    <row r="23" spans="1:10" x14ac:dyDescent="0.2">
      <c r="A23" s="2" t="s">
        <v>95</v>
      </c>
      <c r="B23" s="2"/>
    </row>
  </sheetData>
  <mergeCells count="12">
    <mergeCell ref="G17:H17"/>
    <mergeCell ref="G18:H18"/>
    <mergeCell ref="G19:H19"/>
    <mergeCell ref="I17:J17"/>
    <mergeCell ref="I18:J18"/>
    <mergeCell ref="I19:J19"/>
    <mergeCell ref="C17:D17"/>
    <mergeCell ref="C18:D18"/>
    <mergeCell ref="C19:D19"/>
    <mergeCell ref="E17:F17"/>
    <mergeCell ref="E18:F18"/>
    <mergeCell ref="E19:F19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J23"/>
  <sheetViews>
    <sheetView workbookViewId="0">
      <selection activeCell="A3" sqref="A3"/>
    </sheetView>
  </sheetViews>
  <sheetFormatPr baseColWidth="10" defaultRowHeight="12.75" x14ac:dyDescent="0.2"/>
  <cols>
    <col min="1" max="2" width="35.7109375" style="1" customWidth="1"/>
    <col min="3" max="10" width="11.42578125" style="1" customWidth="1"/>
    <col min="11" max="16384" width="11.42578125" style="1"/>
  </cols>
  <sheetData>
    <row r="1" spans="1:10" x14ac:dyDescent="0.2">
      <c r="A1" s="5" t="s">
        <v>195</v>
      </c>
      <c r="B1" s="5"/>
    </row>
    <row r="2" spans="1:10" x14ac:dyDescent="0.2">
      <c r="A2" s="24" t="s">
        <v>116</v>
      </c>
      <c r="B2" s="24"/>
    </row>
    <row r="4" spans="1:10" s="28" customFormat="1" ht="27" customHeight="1" x14ac:dyDescent="0.2">
      <c r="A4" s="20"/>
      <c r="B4" s="20"/>
      <c r="C4" s="10" t="s">
        <v>2</v>
      </c>
      <c r="D4" s="10"/>
      <c r="E4" s="10" t="s">
        <v>188</v>
      </c>
      <c r="F4" s="10"/>
      <c r="G4" s="10" t="s">
        <v>22</v>
      </c>
      <c r="H4" s="10"/>
      <c r="I4" s="10" t="s">
        <v>4</v>
      </c>
      <c r="J4" s="10"/>
    </row>
    <row r="5" spans="1:10" s="28" customFormat="1" ht="27" customHeight="1" x14ac:dyDescent="0.2">
      <c r="A5" s="20"/>
      <c r="B5" s="20"/>
      <c r="C5" s="10" t="s">
        <v>187</v>
      </c>
      <c r="D5" s="10" t="s">
        <v>11</v>
      </c>
      <c r="E5" s="10" t="s">
        <v>189</v>
      </c>
      <c r="F5" s="10" t="s">
        <v>11</v>
      </c>
      <c r="G5" s="10" t="s">
        <v>190</v>
      </c>
      <c r="H5" s="10" t="s">
        <v>11</v>
      </c>
      <c r="I5" s="10" t="s">
        <v>4</v>
      </c>
      <c r="J5" s="10" t="s">
        <v>11</v>
      </c>
    </row>
    <row r="6" spans="1:10" x14ac:dyDescent="0.2">
      <c r="A6" s="5" t="s">
        <v>14</v>
      </c>
      <c r="B6" s="5" t="s">
        <v>172</v>
      </c>
      <c r="C6" s="48">
        <f>SUM(C7:C13)</f>
        <v>182065</v>
      </c>
      <c r="D6" s="49">
        <v>1</v>
      </c>
      <c r="E6" s="48">
        <f>SUM(E7:E13)</f>
        <v>26566</v>
      </c>
      <c r="F6" s="49">
        <v>1</v>
      </c>
      <c r="G6" s="48">
        <f>SUM(G7:G13)</f>
        <v>12887</v>
      </c>
      <c r="H6" s="49">
        <v>1</v>
      </c>
      <c r="I6" s="48">
        <f>SUM(I7:I13)</f>
        <v>5325</v>
      </c>
      <c r="J6" s="49">
        <v>1</v>
      </c>
    </row>
    <row r="7" spans="1:10" x14ac:dyDescent="0.2">
      <c r="A7" s="27" t="s">
        <v>164</v>
      </c>
      <c r="B7" s="27" t="s">
        <v>173</v>
      </c>
      <c r="C7" s="52">
        <v>2201</v>
      </c>
      <c r="D7" s="53">
        <f t="shared" ref="D7:D13" si="0">C7/C$6</f>
        <v>1.208908906159888E-2</v>
      </c>
      <c r="E7" s="52">
        <v>303</v>
      </c>
      <c r="F7" s="53">
        <f t="shared" ref="F7:F13" si="1">E7/E$6</f>
        <v>1.1405555973801098E-2</v>
      </c>
      <c r="G7" s="52">
        <v>242</v>
      </c>
      <c r="H7" s="53">
        <f t="shared" ref="H7:H13" si="2">G7/G$6</f>
        <v>1.8778614107239855E-2</v>
      </c>
      <c r="I7" s="52">
        <v>14</v>
      </c>
      <c r="J7" s="53">
        <f t="shared" ref="J7:J13" si="3">I7/I$6</f>
        <v>2.6291079812206571E-3</v>
      </c>
    </row>
    <row r="8" spans="1:10" x14ac:dyDescent="0.2">
      <c r="A8" s="27" t="s">
        <v>165</v>
      </c>
      <c r="B8" s="27" t="s">
        <v>174</v>
      </c>
      <c r="C8" s="52">
        <v>330</v>
      </c>
      <c r="D8" s="53">
        <f t="shared" si="0"/>
        <v>1.8125394776590778E-3</v>
      </c>
      <c r="E8" s="52">
        <v>61</v>
      </c>
      <c r="F8" s="53">
        <f t="shared" si="1"/>
        <v>2.2961680343295942E-3</v>
      </c>
      <c r="G8" s="52">
        <v>12</v>
      </c>
      <c r="H8" s="53">
        <f t="shared" si="2"/>
        <v>9.3117094746643901E-4</v>
      </c>
      <c r="I8" s="52">
        <v>3</v>
      </c>
      <c r="J8" s="53">
        <f t="shared" si="3"/>
        <v>5.6338028169014088E-4</v>
      </c>
    </row>
    <row r="9" spans="1:10" x14ac:dyDescent="0.2">
      <c r="A9" s="27" t="s">
        <v>175</v>
      </c>
      <c r="B9" s="27" t="s">
        <v>176</v>
      </c>
      <c r="C9" s="52">
        <v>128102</v>
      </c>
      <c r="D9" s="53">
        <f t="shared" si="0"/>
        <v>0.7036058550517672</v>
      </c>
      <c r="E9" s="52">
        <v>16614</v>
      </c>
      <c r="F9" s="53">
        <f t="shared" si="1"/>
        <v>0.62538583151396521</v>
      </c>
      <c r="G9" s="52">
        <v>7626</v>
      </c>
      <c r="H9" s="53">
        <f t="shared" si="2"/>
        <v>0.59175913711492201</v>
      </c>
      <c r="I9" s="52">
        <v>2841</v>
      </c>
      <c r="J9" s="53">
        <f t="shared" si="3"/>
        <v>0.5335211267605634</v>
      </c>
    </row>
    <row r="10" spans="1:10" x14ac:dyDescent="0.2">
      <c r="A10" s="27" t="s">
        <v>166</v>
      </c>
      <c r="B10" s="27" t="s">
        <v>177</v>
      </c>
      <c r="C10" s="52">
        <v>2981</v>
      </c>
      <c r="D10" s="53">
        <f t="shared" si="0"/>
        <v>1.6373273281520336E-2</v>
      </c>
      <c r="E10" s="52">
        <v>406</v>
      </c>
      <c r="F10" s="53">
        <f t="shared" si="1"/>
        <v>1.5282692162915005E-2</v>
      </c>
      <c r="G10" s="52">
        <v>176</v>
      </c>
      <c r="H10" s="53">
        <f t="shared" si="2"/>
        <v>1.365717389617444E-2</v>
      </c>
      <c r="I10" s="52">
        <v>48</v>
      </c>
      <c r="J10" s="53">
        <f t="shared" si="3"/>
        <v>9.014084507042254E-3</v>
      </c>
    </row>
    <row r="11" spans="1:10" x14ac:dyDescent="0.2">
      <c r="A11" s="27" t="s">
        <v>167</v>
      </c>
      <c r="B11" s="27" t="s">
        <v>178</v>
      </c>
      <c r="C11" s="52">
        <v>27097</v>
      </c>
      <c r="D11" s="53">
        <f t="shared" si="0"/>
        <v>0.14883146129129707</v>
      </c>
      <c r="E11" s="52">
        <v>3775</v>
      </c>
      <c r="F11" s="53">
        <f t="shared" si="1"/>
        <v>0.1420989234359708</v>
      </c>
      <c r="G11" s="52">
        <v>2306</v>
      </c>
      <c r="H11" s="53">
        <f t="shared" si="2"/>
        <v>0.17894001707146737</v>
      </c>
      <c r="I11" s="52">
        <v>1615</v>
      </c>
      <c r="J11" s="53">
        <f t="shared" si="3"/>
        <v>0.30328638497652582</v>
      </c>
    </row>
    <row r="12" spans="1:10" x14ac:dyDescent="0.2">
      <c r="A12" s="27" t="s">
        <v>168</v>
      </c>
      <c r="B12" s="27" t="s">
        <v>179</v>
      </c>
      <c r="C12" s="52">
        <v>14161</v>
      </c>
      <c r="D12" s="53">
        <f t="shared" si="0"/>
        <v>7.7779913767061212E-2</v>
      </c>
      <c r="E12" s="52">
        <v>2736</v>
      </c>
      <c r="F12" s="53">
        <f t="shared" si="1"/>
        <v>0.10298878265452081</v>
      </c>
      <c r="G12" s="52">
        <v>1508</v>
      </c>
      <c r="H12" s="53">
        <f t="shared" si="2"/>
        <v>0.11701714906494917</v>
      </c>
      <c r="I12" s="52">
        <v>667</v>
      </c>
      <c r="J12" s="53">
        <f t="shared" si="3"/>
        <v>0.12525821596244133</v>
      </c>
    </row>
    <row r="13" spans="1:10" x14ac:dyDescent="0.2">
      <c r="A13" s="27" t="s">
        <v>169</v>
      </c>
      <c r="B13" s="27" t="s">
        <v>180</v>
      </c>
      <c r="C13" s="52">
        <v>7193</v>
      </c>
      <c r="D13" s="53">
        <f t="shared" si="0"/>
        <v>3.9507868069096203E-2</v>
      </c>
      <c r="E13" s="52">
        <v>2671</v>
      </c>
      <c r="F13" s="53">
        <f t="shared" si="1"/>
        <v>0.10054204622449747</v>
      </c>
      <c r="G13" s="52">
        <v>1017</v>
      </c>
      <c r="H13" s="53">
        <f t="shared" si="2"/>
        <v>7.8916737797780703E-2</v>
      </c>
      <c r="I13" s="52">
        <v>137</v>
      </c>
      <c r="J13" s="53">
        <f t="shared" si="3"/>
        <v>2.5727699530516433E-2</v>
      </c>
    </row>
    <row r="14" spans="1:10" x14ac:dyDescent="0.2">
      <c r="A14" s="5" t="s">
        <v>15</v>
      </c>
      <c r="B14" s="5" t="s">
        <v>181</v>
      </c>
      <c r="C14" s="48">
        <f>SUM(C15:C16)</f>
        <v>16900</v>
      </c>
      <c r="D14" s="49">
        <v>1</v>
      </c>
      <c r="E14" s="48">
        <f>SUM(E15:E16)</f>
        <v>2785</v>
      </c>
      <c r="F14" s="49">
        <v>1</v>
      </c>
      <c r="G14" s="48">
        <f>SUM(G15:G16)</f>
        <v>1608</v>
      </c>
      <c r="H14" s="49">
        <v>1</v>
      </c>
      <c r="I14" s="48">
        <f>SUM(I15:I16)</f>
        <v>740</v>
      </c>
      <c r="J14" s="49">
        <v>1</v>
      </c>
    </row>
    <row r="15" spans="1:10" x14ac:dyDescent="0.2">
      <c r="A15" s="27" t="s">
        <v>170</v>
      </c>
      <c r="B15" s="27" t="s">
        <v>182</v>
      </c>
      <c r="C15" s="52">
        <v>9590</v>
      </c>
      <c r="D15" s="56">
        <f>C15/$C$14</f>
        <v>0.56745562130177518</v>
      </c>
      <c r="E15" s="52">
        <v>1472</v>
      </c>
      <c r="F15" s="56">
        <f>E15/$E$14</f>
        <v>0.52854578096947935</v>
      </c>
      <c r="G15" s="52">
        <v>915</v>
      </c>
      <c r="H15" s="56">
        <f>G15/$G$14</f>
        <v>0.56902985074626866</v>
      </c>
      <c r="I15" s="52">
        <v>298</v>
      </c>
      <c r="J15" s="56">
        <f>I15/$I$14</f>
        <v>0.4027027027027027</v>
      </c>
    </row>
    <row r="16" spans="1:10" x14ac:dyDescent="0.2">
      <c r="A16" s="27" t="s">
        <v>171</v>
      </c>
      <c r="B16" s="27" t="s">
        <v>183</v>
      </c>
      <c r="C16" s="52">
        <v>7310</v>
      </c>
      <c r="D16" s="56">
        <f>C16/$C$14</f>
        <v>0.43254437869822487</v>
      </c>
      <c r="E16" s="52">
        <v>1313</v>
      </c>
      <c r="F16" s="56">
        <f>E16/$E$14</f>
        <v>0.47145421903052065</v>
      </c>
      <c r="G16" s="52">
        <v>693</v>
      </c>
      <c r="H16" s="56">
        <f>G16/$G$14</f>
        <v>0.43097014925373134</v>
      </c>
      <c r="I16" s="52">
        <v>442</v>
      </c>
      <c r="J16" s="56">
        <f>I16/$I$14</f>
        <v>0.5972972972972973</v>
      </c>
    </row>
    <row r="17" spans="1:10" x14ac:dyDescent="0.2">
      <c r="A17" s="5" t="s">
        <v>41</v>
      </c>
      <c r="B17" s="5" t="s">
        <v>184</v>
      </c>
      <c r="C17" s="106">
        <f>C14/$C$6</f>
        <v>9.2823991431631558E-2</v>
      </c>
      <c r="D17" s="106"/>
      <c r="E17" s="106">
        <f>E14/$E$6</f>
        <v>0.10483324550176917</v>
      </c>
      <c r="F17" s="106"/>
      <c r="G17" s="106">
        <f>G14/$G$6</f>
        <v>0.12477690696050284</v>
      </c>
      <c r="H17" s="106"/>
      <c r="I17" s="106">
        <f>I14/$G$6</f>
        <v>5.7422208427097075E-2</v>
      </c>
      <c r="J17" s="106"/>
    </row>
    <row r="18" spans="1:10" x14ac:dyDescent="0.2">
      <c r="A18" s="5" t="s">
        <v>40</v>
      </c>
      <c r="B18" s="5" t="s">
        <v>185</v>
      </c>
      <c r="C18" s="105">
        <f>C6/23713398*10000</f>
        <v>76.777271650397807</v>
      </c>
      <c r="D18" s="105"/>
      <c r="E18" s="105">
        <f>E6/2511220*10000</f>
        <v>105.7892179896624</v>
      </c>
      <c r="F18" s="105"/>
      <c r="G18" s="105">
        <f>G6/1294491*10000</f>
        <v>99.552642698944993</v>
      </c>
      <c r="H18" s="105"/>
      <c r="I18" s="105">
        <f>I6/412968*10000</f>
        <v>128.9446155634335</v>
      </c>
      <c r="J18" s="105"/>
    </row>
    <row r="19" spans="1:10" x14ac:dyDescent="0.2">
      <c r="A19" s="5" t="s">
        <v>42</v>
      </c>
      <c r="B19" s="5" t="s">
        <v>186</v>
      </c>
      <c r="C19" s="103">
        <f>39872/C6</f>
        <v>0.21899870925219014</v>
      </c>
      <c r="D19" s="103"/>
      <c r="E19" s="106">
        <f>5456/E6</f>
        <v>0.20537529172626665</v>
      </c>
      <c r="F19" s="106"/>
      <c r="G19" s="106">
        <f>2781/G6</f>
        <v>0.21579886707534726</v>
      </c>
      <c r="H19" s="106"/>
      <c r="I19" s="106">
        <f>1095/I6</f>
        <v>0.20563380281690141</v>
      </c>
      <c r="J19" s="106"/>
    </row>
    <row r="20" spans="1:10" x14ac:dyDescent="0.2">
      <c r="A20" s="2" t="s">
        <v>75</v>
      </c>
      <c r="B20" s="2"/>
      <c r="C20" s="38"/>
      <c r="D20" s="38"/>
      <c r="E20" s="38"/>
      <c r="F20" s="38"/>
      <c r="G20" s="38"/>
      <c r="H20" s="38"/>
      <c r="I20" s="38"/>
      <c r="J20" s="38"/>
    </row>
    <row r="21" spans="1:10" x14ac:dyDescent="0.2">
      <c r="A21" s="2" t="s">
        <v>83</v>
      </c>
      <c r="B21" s="2"/>
    </row>
    <row r="22" spans="1:10" x14ac:dyDescent="0.2">
      <c r="A22" s="2" t="s">
        <v>0</v>
      </c>
      <c r="B22" s="2"/>
    </row>
    <row r="23" spans="1:10" x14ac:dyDescent="0.2">
      <c r="A23" s="2" t="s">
        <v>84</v>
      </c>
      <c r="B23" s="2"/>
    </row>
  </sheetData>
  <mergeCells count="12"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</mergeCells>
  <pageMargins left="0.75" right="0.75" top="1" bottom="1" header="0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3" sqref="A3"/>
    </sheetView>
  </sheetViews>
  <sheetFormatPr baseColWidth="10" defaultRowHeight="12.75" x14ac:dyDescent="0.2"/>
  <cols>
    <col min="1" max="2" width="25.7109375" style="1" customWidth="1"/>
    <col min="3" max="7" width="11.42578125" style="1" customWidth="1"/>
    <col min="8" max="16384" width="11.42578125" style="1"/>
  </cols>
  <sheetData>
    <row r="1" spans="1:7" x14ac:dyDescent="0.2">
      <c r="A1" s="5" t="s">
        <v>88</v>
      </c>
      <c r="B1" s="5"/>
    </row>
    <row r="2" spans="1:7" x14ac:dyDescent="0.2">
      <c r="A2" s="24" t="s">
        <v>89</v>
      </c>
      <c r="B2" s="24"/>
    </row>
    <row r="4" spans="1:7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</row>
    <row r="5" spans="1:7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</row>
    <row r="6" spans="1:7" x14ac:dyDescent="0.2">
      <c r="A6" s="5" t="s">
        <v>74</v>
      </c>
      <c r="B6" s="5" t="s">
        <v>196</v>
      </c>
      <c r="C6" s="50">
        <v>39176</v>
      </c>
      <c r="D6" s="50">
        <v>4691</v>
      </c>
      <c r="E6" s="50">
        <v>2227</v>
      </c>
      <c r="F6" s="61">
        <v>1027</v>
      </c>
      <c r="G6" s="62">
        <f>F6/E6</f>
        <v>0.46115850920520879</v>
      </c>
    </row>
    <row r="7" spans="1:7" x14ac:dyDescent="0.2">
      <c r="A7" s="22" t="s">
        <v>76</v>
      </c>
      <c r="B7" s="22" t="s">
        <v>197</v>
      </c>
      <c r="C7" s="54">
        <v>26942</v>
      </c>
      <c r="D7" s="54">
        <v>3242</v>
      </c>
      <c r="E7" s="54">
        <v>1569</v>
      </c>
      <c r="F7" s="38">
        <v>669</v>
      </c>
      <c r="G7" s="62">
        <f>F7/E7</f>
        <v>0.42638623326959846</v>
      </c>
    </row>
    <row r="8" spans="1:7" x14ac:dyDescent="0.2">
      <c r="A8" s="1" t="s">
        <v>77</v>
      </c>
      <c r="B8" s="1" t="s">
        <v>198</v>
      </c>
      <c r="C8" s="54">
        <v>12234</v>
      </c>
      <c r="D8" s="54">
        <v>1449</v>
      </c>
      <c r="E8" s="54">
        <v>658</v>
      </c>
      <c r="F8" s="38">
        <v>358</v>
      </c>
      <c r="G8" s="62">
        <f>F8/E8</f>
        <v>0.54407294832826747</v>
      </c>
    </row>
    <row r="9" spans="1:7" x14ac:dyDescent="0.2">
      <c r="A9" s="27" t="s">
        <v>199</v>
      </c>
      <c r="B9" s="27" t="s">
        <v>201</v>
      </c>
      <c r="C9" s="55">
        <f>C8/C6</f>
        <v>0.3122830304267919</v>
      </c>
      <c r="D9" s="55">
        <v>0.318</v>
      </c>
      <c r="E9" s="55">
        <f>E8/E6</f>
        <v>0.29546475078581053</v>
      </c>
      <c r="F9" s="62">
        <f>F8/(F7+F8)</f>
        <v>0.34858812074001949</v>
      </c>
      <c r="G9" s="62" t="s">
        <v>19</v>
      </c>
    </row>
    <row r="10" spans="1:7" x14ac:dyDescent="0.2">
      <c r="A10" s="1" t="s">
        <v>204</v>
      </c>
      <c r="B10" s="1" t="s">
        <v>203</v>
      </c>
      <c r="C10" s="54">
        <v>26560</v>
      </c>
      <c r="D10" s="54">
        <v>3051</v>
      </c>
      <c r="E10" s="54">
        <v>1444</v>
      </c>
      <c r="F10" s="38">
        <v>623</v>
      </c>
      <c r="G10" s="62">
        <f>F10/E10</f>
        <v>0.43144044321329639</v>
      </c>
    </row>
    <row r="11" spans="1:7" x14ac:dyDescent="0.2">
      <c r="A11" s="1" t="s">
        <v>205</v>
      </c>
      <c r="B11" s="1" t="s">
        <v>206</v>
      </c>
      <c r="C11" s="54">
        <v>12616</v>
      </c>
      <c r="D11" s="54">
        <v>1640</v>
      </c>
      <c r="E11" s="54">
        <v>783</v>
      </c>
      <c r="F11" s="38">
        <v>404</v>
      </c>
      <c r="G11" s="62">
        <f>F11/E11</f>
        <v>0.51596424010217112</v>
      </c>
    </row>
    <row r="12" spans="1:7" x14ac:dyDescent="0.2">
      <c r="A12" s="27" t="s">
        <v>200</v>
      </c>
      <c r="B12" s="27" t="s">
        <v>202</v>
      </c>
      <c r="C12" s="55">
        <v>0.32200000000000001</v>
      </c>
      <c r="D12" s="55">
        <f>D11/D6</f>
        <v>0.34960562779791088</v>
      </c>
      <c r="E12" s="55">
        <f>E11/E10</f>
        <v>0.54224376731301938</v>
      </c>
      <c r="F12" s="62">
        <f>F11/(F10+F11)</f>
        <v>0.39337877312560859</v>
      </c>
      <c r="G12" s="62" t="s">
        <v>19</v>
      </c>
    </row>
    <row r="13" spans="1:7" x14ac:dyDescent="0.2">
      <c r="A13" s="2" t="s">
        <v>209</v>
      </c>
      <c r="B13" s="2"/>
    </row>
    <row r="14" spans="1:7" x14ac:dyDescent="0.2">
      <c r="A14" s="2" t="s">
        <v>210</v>
      </c>
      <c r="B14" s="2"/>
    </row>
    <row r="15" spans="1:7" x14ac:dyDescent="0.2">
      <c r="A15" s="2" t="s">
        <v>34</v>
      </c>
      <c r="B15" s="2"/>
    </row>
    <row r="16" spans="1:7" x14ac:dyDescent="0.2">
      <c r="A16" s="2" t="s">
        <v>82</v>
      </c>
      <c r="B16" s="2"/>
    </row>
    <row r="22" spans="6:6" x14ac:dyDescent="0.2">
      <c r="F22" s="36"/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I38"/>
  <sheetViews>
    <sheetView workbookViewId="0">
      <selection activeCell="A3" sqref="A3"/>
    </sheetView>
  </sheetViews>
  <sheetFormatPr baseColWidth="10" defaultRowHeight="12.75" x14ac:dyDescent="0.2"/>
  <cols>
    <col min="1" max="2" width="25.7109375" style="1" customWidth="1"/>
    <col min="3" max="7" width="11.42578125" style="1" customWidth="1"/>
    <col min="8" max="16384" width="11.42578125" style="1"/>
  </cols>
  <sheetData>
    <row r="1" spans="1:9" x14ac:dyDescent="0.2">
      <c r="A1" s="5" t="s">
        <v>117</v>
      </c>
      <c r="B1" s="5"/>
      <c r="I1" s="12"/>
    </row>
    <row r="2" spans="1:9" x14ac:dyDescent="0.2">
      <c r="A2" s="24" t="s">
        <v>118</v>
      </c>
      <c r="B2" s="24"/>
      <c r="I2" s="12"/>
    </row>
    <row r="3" spans="1:9" x14ac:dyDescent="0.2">
      <c r="I3" s="12"/>
    </row>
    <row r="4" spans="1:9" s="28" customFormat="1" ht="27" customHeight="1" x14ac:dyDescent="0.2">
      <c r="A4" s="20"/>
      <c r="B4" s="20"/>
      <c r="C4" s="10" t="s">
        <v>2</v>
      </c>
      <c r="D4" s="10" t="s">
        <v>188</v>
      </c>
      <c r="E4" s="10" t="s">
        <v>22</v>
      </c>
      <c r="F4" s="10" t="s">
        <v>4</v>
      </c>
      <c r="G4" s="10" t="s">
        <v>207</v>
      </c>
      <c r="I4" s="34"/>
    </row>
    <row r="5" spans="1:9" s="28" customFormat="1" ht="27" customHeight="1" x14ac:dyDescent="0.2">
      <c r="A5" s="20"/>
      <c r="B5" s="20"/>
      <c r="C5" s="10" t="s">
        <v>187</v>
      </c>
      <c r="D5" s="10" t="s">
        <v>189</v>
      </c>
      <c r="E5" s="10" t="s">
        <v>190</v>
      </c>
      <c r="F5" s="10" t="s">
        <v>4</v>
      </c>
      <c r="G5" s="10" t="s">
        <v>208</v>
      </c>
      <c r="I5" s="34"/>
    </row>
    <row r="6" spans="1:9" x14ac:dyDescent="0.2">
      <c r="A6" s="5" t="s">
        <v>74</v>
      </c>
      <c r="B6" s="5" t="s">
        <v>196</v>
      </c>
      <c r="C6" s="48">
        <f>C7+C8</f>
        <v>40720</v>
      </c>
      <c r="D6" s="48">
        <f>D7+D8</f>
        <v>22957</v>
      </c>
      <c r="E6" s="48">
        <f>E7+E8</f>
        <v>2773</v>
      </c>
      <c r="F6" s="48">
        <f>F7+F8</f>
        <v>1044</v>
      </c>
      <c r="G6" s="58">
        <f>F6/E6</f>
        <v>0.37648755860079336</v>
      </c>
      <c r="I6" s="12"/>
    </row>
    <row r="7" spans="1:9" x14ac:dyDescent="0.2">
      <c r="A7" s="22" t="s">
        <v>76</v>
      </c>
      <c r="B7" s="22" t="s">
        <v>197</v>
      </c>
      <c r="C7" s="52">
        <v>27386</v>
      </c>
      <c r="D7" s="52">
        <v>14688</v>
      </c>
      <c r="E7" s="52">
        <v>1955</v>
      </c>
      <c r="F7" s="52">
        <v>633</v>
      </c>
      <c r="G7" s="55">
        <f>F7/E7</f>
        <v>0.32378516624040921</v>
      </c>
      <c r="I7" s="12"/>
    </row>
    <row r="8" spans="1:9" x14ac:dyDescent="0.2">
      <c r="A8" s="1" t="s">
        <v>77</v>
      </c>
      <c r="B8" s="1" t="s">
        <v>198</v>
      </c>
      <c r="C8" s="52">
        <v>13334</v>
      </c>
      <c r="D8" s="52">
        <v>8269</v>
      </c>
      <c r="E8" s="52">
        <v>818</v>
      </c>
      <c r="F8" s="52">
        <v>411</v>
      </c>
      <c r="G8" s="55">
        <f>F8/E8</f>
        <v>0.50244498777506108</v>
      </c>
      <c r="I8" s="12"/>
    </row>
    <row r="9" spans="1:9" x14ac:dyDescent="0.2">
      <c r="A9" s="27" t="s">
        <v>199</v>
      </c>
      <c r="B9" s="27" t="s">
        <v>201</v>
      </c>
      <c r="C9" s="53">
        <f>C8/(C7+C8)</f>
        <v>0.32745579567779959</v>
      </c>
      <c r="D9" s="53">
        <f>D8/(D7+D8)</f>
        <v>0.36019514744957964</v>
      </c>
      <c r="E9" s="53">
        <f>E8/(E7+E8)</f>
        <v>0.29498737829065991</v>
      </c>
      <c r="F9" s="53">
        <f>F8/(F7+F8)</f>
        <v>0.39367816091954022</v>
      </c>
      <c r="G9" s="4" t="s">
        <v>19</v>
      </c>
      <c r="I9" s="12"/>
    </row>
    <row r="10" spans="1:9" x14ac:dyDescent="0.2">
      <c r="A10" s="1" t="s">
        <v>204</v>
      </c>
      <c r="B10" s="1" t="s">
        <v>203</v>
      </c>
      <c r="C10" s="52">
        <v>27253</v>
      </c>
      <c r="D10" s="52">
        <v>3710</v>
      </c>
      <c r="E10" s="52">
        <v>1896</v>
      </c>
      <c r="F10" s="52">
        <v>608</v>
      </c>
      <c r="G10" s="55">
        <f>F10/E10</f>
        <v>0.32067510548523209</v>
      </c>
      <c r="I10" s="12"/>
    </row>
    <row r="11" spans="1:9" x14ac:dyDescent="0.2">
      <c r="A11" s="1" t="s">
        <v>205</v>
      </c>
      <c r="B11" s="1" t="s">
        <v>206</v>
      </c>
      <c r="C11" s="52">
        <v>13467</v>
      </c>
      <c r="D11" s="52">
        <v>1854</v>
      </c>
      <c r="E11" s="52">
        <v>877</v>
      </c>
      <c r="F11" s="52">
        <v>436</v>
      </c>
      <c r="G11" s="55">
        <f>F11/E11</f>
        <v>0.49714937286202965</v>
      </c>
      <c r="I11" s="12"/>
    </row>
    <row r="12" spans="1:9" x14ac:dyDescent="0.2">
      <c r="A12" s="27" t="s">
        <v>200</v>
      </c>
      <c r="B12" s="27" t="s">
        <v>202</v>
      </c>
      <c r="C12" s="53">
        <f>C11/(C10+C11)</f>
        <v>0.33072200392927309</v>
      </c>
      <c r="D12" s="53">
        <f>D11/(D10+D11)</f>
        <v>0.33321351545650613</v>
      </c>
      <c r="E12" s="53">
        <f>E11/(E10+E11)</f>
        <v>0.31626397403534079</v>
      </c>
      <c r="F12" s="53">
        <f>F11/(F10+F11)</f>
        <v>0.41762452107279696</v>
      </c>
      <c r="G12" s="4" t="s">
        <v>19</v>
      </c>
      <c r="I12" s="12"/>
    </row>
    <row r="13" spans="1:9" x14ac:dyDescent="0.2">
      <c r="A13" s="2" t="s">
        <v>209</v>
      </c>
      <c r="B13" s="2"/>
      <c r="I13" s="12"/>
    </row>
    <row r="14" spans="1:9" x14ac:dyDescent="0.2">
      <c r="A14" s="2" t="s">
        <v>210</v>
      </c>
      <c r="B14" s="2"/>
      <c r="I14" s="12"/>
    </row>
    <row r="15" spans="1:9" x14ac:dyDescent="0.2">
      <c r="A15" s="2" t="s">
        <v>34</v>
      </c>
      <c r="B15" s="2"/>
      <c r="I15" s="12"/>
    </row>
    <row r="16" spans="1:9" x14ac:dyDescent="0.2">
      <c r="A16" s="2" t="s">
        <v>82</v>
      </c>
      <c r="B16" s="2"/>
      <c r="I16" s="12"/>
    </row>
    <row r="17" spans="9:9" x14ac:dyDescent="0.2">
      <c r="I17" s="12"/>
    </row>
    <row r="18" spans="9:9" x14ac:dyDescent="0.2">
      <c r="I18" s="12"/>
    </row>
    <row r="19" spans="9:9" x14ac:dyDescent="0.2">
      <c r="I19" s="12"/>
    </row>
    <row r="20" spans="9:9" x14ac:dyDescent="0.2">
      <c r="I20" s="12"/>
    </row>
    <row r="21" spans="9:9" x14ac:dyDescent="0.2">
      <c r="I21" s="12"/>
    </row>
    <row r="22" spans="9:9" x14ac:dyDescent="0.2">
      <c r="I22" s="12"/>
    </row>
    <row r="23" spans="9:9" x14ac:dyDescent="0.2">
      <c r="I23" s="12"/>
    </row>
    <row r="24" spans="9:9" x14ac:dyDescent="0.2">
      <c r="I24" s="12"/>
    </row>
    <row r="25" spans="9:9" x14ac:dyDescent="0.2">
      <c r="I25" s="12"/>
    </row>
    <row r="26" spans="9:9" x14ac:dyDescent="0.2">
      <c r="I26" s="12"/>
    </row>
    <row r="27" spans="9:9" x14ac:dyDescent="0.2">
      <c r="I27" s="12"/>
    </row>
    <row r="28" spans="9:9" x14ac:dyDescent="0.2">
      <c r="I28" s="12"/>
    </row>
    <row r="29" spans="9:9" x14ac:dyDescent="0.2">
      <c r="I29" s="12"/>
    </row>
    <row r="30" spans="9:9" x14ac:dyDescent="0.2">
      <c r="I30" s="12"/>
    </row>
    <row r="31" spans="9:9" x14ac:dyDescent="0.2">
      <c r="I31" s="12"/>
    </row>
    <row r="32" spans="9:9" x14ac:dyDescent="0.2">
      <c r="I32" s="12"/>
    </row>
    <row r="33" spans="9:9" x14ac:dyDescent="0.2">
      <c r="I33" s="12"/>
    </row>
    <row r="34" spans="9:9" x14ac:dyDescent="0.2">
      <c r="I34" s="12"/>
    </row>
    <row r="35" spans="9:9" x14ac:dyDescent="0.2">
      <c r="I35" s="12"/>
    </row>
    <row r="36" spans="9:9" x14ac:dyDescent="0.2">
      <c r="I36" s="12"/>
    </row>
    <row r="37" spans="9:9" x14ac:dyDescent="0.2">
      <c r="I37" s="12"/>
    </row>
    <row r="38" spans="9:9" x14ac:dyDescent="0.2">
      <c r="I38" s="12"/>
    </row>
  </sheetData>
  <phoneticPr fontId="2" type="noConversion"/>
  <pageMargins left="0.39370078740157483" right="0.27559055118110237" top="0.98425196850393704" bottom="0.9842519685039370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39</vt:i4>
      </vt:variant>
    </vt:vector>
  </HeadingPairs>
  <TitlesOfParts>
    <vt:vector size="39" baseType="lpstr">
      <vt:lpstr>ÍNDEX VIOLÈNCIA DE GÈNERE</vt:lpstr>
      <vt:lpstr>ÍNDICE VIOLENCIA DE GÉNERO</vt:lpstr>
      <vt:lpstr>1.2018</vt:lpstr>
      <vt:lpstr>1.2019</vt:lpstr>
      <vt:lpstr>1.2020</vt:lpstr>
      <vt:lpstr>1.2021</vt:lpstr>
      <vt:lpstr>1.2022</vt:lpstr>
      <vt:lpstr>2.2018</vt:lpstr>
      <vt:lpstr>2.2019</vt:lpstr>
      <vt:lpstr>2.2020</vt:lpstr>
      <vt:lpstr>2.2021</vt:lpstr>
      <vt:lpstr>2.2022</vt:lpstr>
      <vt:lpstr>3.2018</vt:lpstr>
      <vt:lpstr>3.2019</vt:lpstr>
      <vt:lpstr>3.2020</vt:lpstr>
      <vt:lpstr>3.2021</vt:lpstr>
      <vt:lpstr>3.2022</vt:lpstr>
      <vt:lpstr>4.2018</vt:lpstr>
      <vt:lpstr>4.2019</vt:lpstr>
      <vt:lpstr>4.2020</vt:lpstr>
      <vt:lpstr>4.2021</vt:lpstr>
      <vt:lpstr>4.2022</vt:lpstr>
      <vt:lpstr>5.2018</vt:lpstr>
      <vt:lpstr>5.2019</vt:lpstr>
      <vt:lpstr>5.2020</vt:lpstr>
      <vt:lpstr>5.2021</vt:lpstr>
      <vt:lpstr>5.2022</vt:lpstr>
      <vt:lpstr>6.2018</vt:lpstr>
      <vt:lpstr>6.2019</vt:lpstr>
      <vt:lpstr>6.2020</vt:lpstr>
      <vt:lpstr>6.2021</vt:lpstr>
      <vt:lpstr>6.2022</vt:lpstr>
      <vt:lpstr>7.2018</vt:lpstr>
      <vt:lpstr>7.2019</vt:lpstr>
      <vt:lpstr>7.2020</vt:lpstr>
      <vt:lpstr>7.2021</vt:lpstr>
      <vt:lpstr>7.2022</vt:lpstr>
      <vt:lpstr>8</vt:lpstr>
      <vt:lpstr>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Tomas Morales Lorente</cp:lastModifiedBy>
  <cp:lastPrinted>2013-01-09T07:48:03Z</cp:lastPrinted>
  <dcterms:created xsi:type="dcterms:W3CDTF">1996-11-27T10:00:04Z</dcterms:created>
  <dcterms:modified xsi:type="dcterms:W3CDTF">2024-03-13T08:39:53Z</dcterms:modified>
</cp:coreProperties>
</file>